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ivotTables/pivotTable1.xml" ContentType="application/vnd.openxmlformats-officedocument.spreadsheetml.pivot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sodecgouvqcca-my.sharepoint.com/personal/marlene_verger_sodec_gouv_qc_ca/Documents/MVerger_OneDrive/Revision_Documents_Programmes/Aff Int/Ajustements mineurs - Fév-Mars 2023/Musique/"/>
    </mc:Choice>
  </mc:AlternateContent>
  <xr:revisionPtr revIDLastSave="339" documentId="8_{CC586AFF-DFCB-4BAC-88A4-3EF7152E24BA}" xr6:coauthVersionLast="47" xr6:coauthVersionMax="47" xr10:uidLastSave="{65ECC758-ACB1-483C-8022-83AEC8B52B7F}"/>
  <workbookProtection workbookAlgorithmName="SHA-512" workbookHashValue="J+5KGZlb3B+/eC0GqPVueXlwoIZWRDt7cbxvZDxnC+eHeORbjTeSkFU6/mmBl1wd2ePjuQwA+SilQF8hVyWOSA==" workbookSaltValue="P6LSYDyVkJCHIphKPhgBPQ==" workbookSpinCount="100000" lockStructure="1"/>
  <bookViews>
    <workbookView xWindow="28680" yWindow="-120" windowWidth="29040" windowHeight="15840" tabRatio="720" xr2:uid="{FCB1DA9E-FCF7-473A-AF21-AA8DBF375C8B}"/>
  </bookViews>
  <sheets>
    <sheet name="Formulaire_Demande" sheetId="1" r:id="rId1"/>
    <sheet name="Statistiques" sheetId="22" r:id="rId2"/>
    <sheet name="DEMANDE_Calendrier_Tournée" sheetId="18" r:id="rId3"/>
    <sheet name="DEMANDE_Équipe_Tournée" sheetId="23" r:id="rId4"/>
    <sheet name="DEMANDE_Transport" sheetId="28" r:id="rId5"/>
    <sheet name="Rapport_Final" sheetId="16" r:id="rId6"/>
    <sheet name="RAPPORT_FINAL_Calendrier" sheetId="26" r:id="rId7"/>
    <sheet name="RAPPORT_FINAL_Équipe_Tournée" sheetId="29" r:id="rId8"/>
    <sheet name="RAPPORT_FINAL_Transport" sheetId="30" r:id="rId9"/>
    <sheet name="Recommandation" sheetId="21" state="hidden" r:id="rId10"/>
    <sheet name="Calcul_Désengagement" sheetId="31" state="hidden" r:id="rId11"/>
    <sheet name="tcd pays date cachet" sheetId="25" state="hidden" r:id="rId12"/>
    <sheet name="Report_Analyse" sheetId="24" state="hidden" r:id="rId13"/>
    <sheet name="Paramètres" sheetId="9" state="hidden" r:id="rId14"/>
  </sheets>
  <externalReferences>
    <externalReference r:id="rId15"/>
  </externalReferences>
  <definedNames>
    <definedName name="Bus_Essence_Hybride">Paramètres!#REF!</definedName>
    <definedName name="Bus_essence_ou_hybride">Paramètres!#REF!</definedName>
    <definedName name="Camionnette_Essence_Hybride">Paramètres!#REF!</definedName>
    <definedName name="Camionnette_essence_ou_hybride">Paramètres!#REF!</definedName>
    <definedName name="_xlnm.Print_Titles" localSheetId="9">Recommandation!$1:$7</definedName>
    <definedName name="ListePaysProvinces">[1]Fichier!$A$112:$A$369</definedName>
    <definedName name="Sélectionner">Paramètres!#REF!</definedName>
    <definedName name="Sélectionner_dans_la_liste">Paramètres!#REF!</definedName>
    <definedName name="Véhicule_Essence_Hybride">Paramètres!#REF!</definedName>
    <definedName name="Véhicule_essence_ou_hybride">Paramètres!#REF!</definedName>
    <definedName name="_xlnm.Print_Area" localSheetId="2">DEMANDE_Calendrier_Tournée!$A$1:$O$74</definedName>
    <definedName name="_xlnm.Print_Area" localSheetId="3">DEMANDE_Équipe_Tournée!$A$1:$N$35</definedName>
    <definedName name="_xlnm.Print_Area" localSheetId="4">DEMANDE_Transport!$A$1:$AD$46</definedName>
    <definedName name="_xlnm.Print_Area" localSheetId="0">Formulaire_Demande!$A$1:$N$290</definedName>
    <definedName name="_xlnm.Print_Area" localSheetId="5">Rapport_Final!$A$1:$M$41</definedName>
    <definedName name="_xlnm.Print_Area" localSheetId="6">RAPPORT_FINAL_Calendrier!#REF!</definedName>
    <definedName name="_xlnm.Print_Area" localSheetId="7">RAPPORT_FINAL_Équipe_Tournée!$A$1:$N$36</definedName>
    <definedName name="_xlnm.Print_Area" localSheetId="8">RAPPORT_FINAL_Transport!$A$1:$AA$5</definedName>
    <definedName name="_xlnm.Print_Area" localSheetId="9">Recommandation!$A$1:$K$74</definedName>
    <definedName name="_xlnm.Print_Area" localSheetId="1">Statistiques!$A$1:$U$24</definedName>
  </definedNames>
  <calcPr calcId="191029"/>
  <pivotCaches>
    <pivotCache cacheId="129"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1" l="1"/>
  <c r="C36" i="16"/>
  <c r="E52" i="21"/>
  <c r="M1" i="21"/>
  <c r="E2" i="24" s="1"/>
  <c r="A2" i="24"/>
  <c r="F228" i="1"/>
  <c r="F226" i="1"/>
  <c r="H288" i="1" l="1"/>
  <c r="D28" i="26" l="1"/>
  <c r="E17" i="21"/>
  <c r="E213" i="1" l="1"/>
  <c r="L60" i="21" l="1"/>
  <c r="I63" i="21"/>
  <c r="B4" i="31"/>
  <c r="B5" i="31" s="1"/>
  <c r="D2" i="24"/>
  <c r="C26" i="30" l="1"/>
  <c r="D28" i="30" l="1"/>
  <c r="D27" i="30"/>
  <c r="J33" i="29" l="1"/>
  <c r="J32" i="29"/>
  <c r="J31" i="29"/>
  <c r="J30" i="29"/>
  <c r="J29" i="29"/>
  <c r="J28" i="29"/>
  <c r="J27" i="29"/>
  <c r="J26" i="29"/>
  <c r="K33" i="29"/>
  <c r="K32" i="29"/>
  <c r="K31" i="29"/>
  <c r="K30" i="29"/>
  <c r="K29" i="29"/>
  <c r="K28" i="29"/>
  <c r="K27" i="29"/>
  <c r="K26" i="29"/>
  <c r="J69" i="26" l="1"/>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M20" i="26"/>
  <c r="G19" i="29"/>
  <c r="K196" i="1"/>
  <c r="J213" i="1"/>
  <c r="I213" i="1"/>
  <c r="G213" i="1"/>
  <c r="Q32" i="28" l="1"/>
  <c r="S32" i="28" s="1"/>
  <c r="Q31" i="28"/>
  <c r="S31" i="28" s="1"/>
  <c r="Q30" i="28"/>
  <c r="S30" i="28" s="1"/>
  <c r="AA2" i="24"/>
  <c r="J20" i="26"/>
  <c r="I20" i="26"/>
  <c r="O26" i="30"/>
  <c r="E35" i="21" l="1"/>
  <c r="E34" i="21"/>
  <c r="E33" i="21"/>
  <c r="E32" i="21"/>
  <c r="E31" i="21"/>
  <c r="E30" i="21"/>
  <c r="E22" i="21" l="1"/>
  <c r="E21" i="21"/>
  <c r="E20" i="21"/>
  <c r="J87" i="1" l="1"/>
  <c r="C139" i="1" l="1"/>
  <c r="K32" i="28" l="1"/>
  <c r="N32" i="28" s="1"/>
  <c r="K31" i="28"/>
  <c r="N31" i="28" s="1"/>
  <c r="K30" i="28"/>
  <c r="N30" i="28" s="1"/>
  <c r="G196" i="1" l="1"/>
  <c r="S287" i="1" s="1"/>
  <c r="E20" i="29"/>
  <c r="Q33" i="23"/>
  <c r="X2" i="24"/>
  <c r="W2" i="24"/>
  <c r="V2" i="24"/>
  <c r="U2" i="24"/>
  <c r="F23" i="29"/>
  <c r="F22" i="29"/>
  <c r="F21" i="29"/>
  <c r="F20" i="29"/>
  <c r="F19" i="29"/>
  <c r="E19" i="29"/>
  <c r="F2" i="24"/>
  <c r="H2" i="24"/>
  <c r="G2" i="24"/>
  <c r="B2" i="24"/>
  <c r="I32" i="23" l="1"/>
  <c r="I31" i="23"/>
  <c r="I30" i="23"/>
  <c r="I29" i="23"/>
  <c r="I28" i="23"/>
  <c r="I27" i="23"/>
  <c r="I26" i="23"/>
  <c r="I25" i="23"/>
  <c r="I24" i="23"/>
  <c r="I33" i="29"/>
  <c r="I32" i="29"/>
  <c r="I31" i="29"/>
  <c r="I30" i="29"/>
  <c r="I29" i="29"/>
  <c r="I28" i="29"/>
  <c r="I27" i="29"/>
  <c r="I26" i="29"/>
  <c r="V31" i="30"/>
  <c r="V30" i="30"/>
  <c r="V29" i="30"/>
  <c r="V28" i="30"/>
  <c r="V27" i="30"/>
  <c r="V26" i="30"/>
  <c r="E27" i="29"/>
  <c r="J58" i="1"/>
  <c r="C28" i="30"/>
  <c r="K26" i="30"/>
  <c r="C27" i="30"/>
  <c r="O30" i="28"/>
  <c r="F251" i="1"/>
  <c r="F245" i="1"/>
  <c r="R33" i="28"/>
  <c r="O32" i="28"/>
  <c r="O31" i="28"/>
  <c r="AE91" i="26"/>
  <c r="AE90" i="26"/>
  <c r="AE89" i="26"/>
  <c r="AE88" i="26"/>
  <c r="AE87" i="26"/>
  <c r="AE86" i="26"/>
  <c r="AE85" i="26"/>
  <c r="AE84" i="26"/>
  <c r="AE83" i="26"/>
  <c r="AE82" i="26"/>
  <c r="E16" i="21"/>
  <c r="H13" i="21"/>
  <c r="E12" i="21"/>
  <c r="E11" i="21"/>
  <c r="E10" i="21"/>
  <c r="J63" i="1"/>
  <c r="L33" i="28"/>
  <c r="K28" i="30" l="1"/>
  <c r="O28" i="30"/>
  <c r="K27" i="30"/>
  <c r="O27" i="30"/>
  <c r="T32" i="28"/>
  <c r="T31" i="28"/>
  <c r="AB2" i="24"/>
  <c r="P26" i="30"/>
  <c r="Q26" i="30" s="1"/>
  <c r="T30" i="28"/>
  <c r="P27" i="30" l="1"/>
  <c r="Q27" i="30" s="1"/>
  <c r="S33" i="28"/>
  <c r="P28" i="30"/>
  <c r="Q28" i="30" s="1"/>
  <c r="T33" i="28"/>
  <c r="R33" i="29"/>
  <c r="R32" i="29"/>
  <c r="R31" i="29"/>
  <c r="R30" i="29"/>
  <c r="R29" i="29"/>
  <c r="R27" i="29"/>
  <c r="L32" i="23"/>
  <c r="L31" i="23"/>
  <c r="L30" i="23"/>
  <c r="L29" i="23"/>
  <c r="L28" i="23"/>
  <c r="L27" i="23"/>
  <c r="I251" i="1"/>
  <c r="G241" i="1"/>
  <c r="G252" i="1"/>
  <c r="G253" i="1"/>
  <c r="G26" i="29"/>
  <c r="G25" i="29"/>
  <c r="G24" i="29"/>
  <c r="G23" i="29"/>
  <c r="G21" i="29"/>
  <c r="G20" i="29"/>
  <c r="F25" i="29"/>
  <c r="F24" i="29"/>
  <c r="I25" i="29" l="1"/>
  <c r="Q34" i="29"/>
  <c r="P2" i="24" s="1"/>
  <c r="P29" i="30"/>
  <c r="AD2" i="24" s="1"/>
  <c r="Q29" i="30"/>
  <c r="G20" i="26"/>
  <c r="D36" i="30"/>
  <c r="D35" i="30"/>
  <c r="D34" i="30"/>
  <c r="D33" i="30"/>
  <c r="D32" i="30"/>
  <c r="D31" i="30"/>
  <c r="D30" i="30"/>
  <c r="D29" i="30"/>
  <c r="D41" i="28"/>
  <c r="E19" i="21"/>
  <c r="N33" i="28" l="1"/>
  <c r="E194" i="1" s="1"/>
  <c r="P82" i="1"/>
  <c r="E15" i="21"/>
  <c r="C36" i="1"/>
  <c r="Q30" i="30" l="1"/>
  <c r="L28" i="30"/>
  <c r="L27" i="30"/>
  <c r="L26" i="30"/>
  <c r="M26" i="30" s="1"/>
  <c r="Y31" i="30"/>
  <c r="Y30" i="30"/>
  <c r="Y29" i="30"/>
  <c r="Y28" i="30"/>
  <c r="G29" i="30"/>
  <c r="AB32" i="28"/>
  <c r="AB33" i="28"/>
  <c r="G37" i="28"/>
  <c r="G36" i="28"/>
  <c r="G35" i="28"/>
  <c r="G34" i="28"/>
  <c r="G40" i="28"/>
  <c r="G39" i="28"/>
  <c r="G38" i="28"/>
  <c r="I81" i="1"/>
  <c r="L29" i="30" l="1"/>
  <c r="AC2" i="24" s="1"/>
  <c r="D22" i="18" l="1"/>
  <c r="P21" i="18" s="1"/>
  <c r="Z21" i="21"/>
  <c r="S22" i="22"/>
  <c r="S19" i="22"/>
  <c r="S18" i="22"/>
  <c r="S17" i="22"/>
  <c r="O22" i="22"/>
  <c r="O19" i="22"/>
  <c r="O18" i="22"/>
  <c r="O17" i="22"/>
  <c r="K22" i="22"/>
  <c r="K19" i="22"/>
  <c r="K18" i="22"/>
  <c r="K17" i="22"/>
  <c r="G22" i="22"/>
  <c r="G19" i="22"/>
  <c r="G18" i="22"/>
  <c r="G17" i="22"/>
  <c r="G260" i="1" l="1"/>
  <c r="G259" i="1"/>
  <c r="G258" i="1"/>
  <c r="G257" i="1"/>
  <c r="G250" i="1"/>
  <c r="G249" i="1"/>
  <c r="G248" i="1"/>
  <c r="G247" i="1"/>
  <c r="G244" i="1"/>
  <c r="G243" i="1"/>
  <c r="G242" i="1"/>
  <c r="G240" i="1"/>
  <c r="G239" i="1"/>
  <c r="G238" i="1"/>
  <c r="G236" i="1"/>
  <c r="AC22" i="18"/>
  <c r="R32" i="23"/>
  <c r="R31" i="23"/>
  <c r="R30" i="23"/>
  <c r="R29" i="23"/>
  <c r="R28" i="23"/>
  <c r="R27" i="23"/>
  <c r="R26" i="23"/>
  <c r="R25" i="23"/>
  <c r="R24" i="23"/>
  <c r="R23" i="23"/>
  <c r="R22" i="23"/>
  <c r="R21" i="23"/>
  <c r="R20" i="23"/>
  <c r="R19" i="23"/>
  <c r="R18" i="23"/>
  <c r="S18" i="23" s="1"/>
  <c r="T18" i="23" s="1"/>
  <c r="S19" i="23" l="1"/>
  <c r="T19" i="23" s="1"/>
  <c r="S20" i="23" l="1"/>
  <c r="T20" i="23" s="1"/>
  <c r="S21" i="23" l="1"/>
  <c r="T21" i="23" s="1"/>
  <c r="S22" i="23" l="1"/>
  <c r="T22" i="23" s="1"/>
  <c r="S23" i="23" l="1"/>
  <c r="T23" i="23" s="1"/>
  <c r="S24" i="23" l="1"/>
  <c r="T24" i="23" s="1"/>
  <c r="S25" i="23" l="1"/>
  <c r="T25" i="23" s="1"/>
  <c r="S26" i="23" l="1"/>
  <c r="T26" i="23" s="1"/>
  <c r="L26" i="23" l="1"/>
  <c r="S27" i="23"/>
  <c r="T27" i="23" s="1"/>
  <c r="I245" i="1"/>
  <c r="S28" i="23" l="1"/>
  <c r="T28" i="23" s="1"/>
  <c r="S29" i="23" l="1"/>
  <c r="T29" i="23" s="1"/>
  <c r="X1" i="24"/>
  <c r="W1" i="24"/>
  <c r="M28" i="30"/>
  <c r="M27" i="30"/>
  <c r="G36" i="30"/>
  <c r="G35" i="30"/>
  <c r="G34" i="30"/>
  <c r="G33" i="30"/>
  <c r="G31" i="30"/>
  <c r="G30" i="30"/>
  <c r="D26" i="30"/>
  <c r="S30" i="23" l="1"/>
  <c r="T30" i="23" s="1"/>
  <c r="M29" i="30"/>
  <c r="D37" i="30"/>
  <c r="V32" i="30"/>
  <c r="H33" i="29"/>
  <c r="H32" i="29"/>
  <c r="Q32" i="29" s="1"/>
  <c r="H31" i="29"/>
  <c r="H30" i="29"/>
  <c r="H29" i="29"/>
  <c r="H28" i="29"/>
  <c r="Q28" i="29" s="1"/>
  <c r="H27" i="29"/>
  <c r="Q27" i="29" s="1"/>
  <c r="H26" i="29"/>
  <c r="Q26" i="29" s="1"/>
  <c r="H25" i="29"/>
  <c r="Q25" i="29" s="1"/>
  <c r="H24" i="29"/>
  <c r="Q24" i="29" s="1"/>
  <c r="H23" i="29"/>
  <c r="Q23" i="29" s="1"/>
  <c r="I23" i="29" s="1"/>
  <c r="H22" i="29"/>
  <c r="Q22" i="29" s="1"/>
  <c r="H21" i="29"/>
  <c r="Q21" i="29" s="1"/>
  <c r="I21" i="29" s="1"/>
  <c r="H20" i="29"/>
  <c r="Q20" i="29" s="1"/>
  <c r="H19" i="29"/>
  <c r="Q19" i="29" s="1"/>
  <c r="G33" i="29"/>
  <c r="G32" i="29"/>
  <c r="G31" i="29"/>
  <c r="G30" i="29"/>
  <c r="G29" i="29"/>
  <c r="G28" i="29"/>
  <c r="G27" i="29"/>
  <c r="G22" i="29"/>
  <c r="F33" i="29"/>
  <c r="F32" i="29"/>
  <c r="F31" i="29"/>
  <c r="F30" i="29"/>
  <c r="F29" i="29"/>
  <c r="F28" i="29"/>
  <c r="F27" i="29"/>
  <c r="F26" i="29"/>
  <c r="E33" i="29"/>
  <c r="E32" i="29"/>
  <c r="E31" i="29"/>
  <c r="E30" i="29"/>
  <c r="E29" i="29"/>
  <c r="E28" i="29"/>
  <c r="R28" i="29" s="1"/>
  <c r="E26" i="29"/>
  <c r="R26" i="29" s="1"/>
  <c r="E25" i="29"/>
  <c r="R25" i="29" s="1"/>
  <c r="E24" i="29"/>
  <c r="R24" i="29" s="1"/>
  <c r="E23" i="29"/>
  <c r="R23" i="29" s="1"/>
  <c r="E22" i="29"/>
  <c r="R22" i="29" s="1"/>
  <c r="E21" i="29"/>
  <c r="R20" i="29"/>
  <c r="D33" i="29"/>
  <c r="D32" i="29"/>
  <c r="D31" i="29"/>
  <c r="D30" i="29"/>
  <c r="D29" i="29"/>
  <c r="D28" i="29"/>
  <c r="D27" i="29"/>
  <c r="D26" i="29"/>
  <c r="D25" i="29"/>
  <c r="D24" i="29"/>
  <c r="D23" i="29"/>
  <c r="D22" i="29"/>
  <c r="D21" i="29"/>
  <c r="D20" i="29"/>
  <c r="D19" i="29"/>
  <c r="Q33" i="29"/>
  <c r="Q31" i="29"/>
  <c r="Q30" i="29"/>
  <c r="Q29" i="29"/>
  <c r="AB34" i="28"/>
  <c r="AB35" i="28"/>
  <c r="Y36" i="28"/>
  <c r="E195" i="1" s="1"/>
  <c r="I22" i="29" l="1"/>
  <c r="R21" i="29"/>
  <c r="Q39" i="29"/>
  <c r="R2" i="24" s="1"/>
  <c r="R19" i="29"/>
  <c r="S19" i="29" s="1"/>
  <c r="O33" i="28"/>
  <c r="Q36" i="29"/>
  <c r="Q2" i="24" s="1"/>
  <c r="S31" i="23"/>
  <c r="T31" i="23" s="1"/>
  <c r="Q37" i="29"/>
  <c r="G34" i="29"/>
  <c r="Z2" i="24" s="1"/>
  <c r="Q38" i="29"/>
  <c r="T19" i="29" l="1"/>
  <c r="I19" i="29" s="1"/>
  <c r="S20" i="29"/>
  <c r="T20" i="29" s="1"/>
  <c r="I20" i="29" s="1"/>
  <c r="S32" i="23"/>
  <c r="T32" i="23" s="1"/>
  <c r="O22" i="29"/>
  <c r="Q35" i="23"/>
  <c r="X26" i="30" l="1"/>
  <c r="W26" i="30"/>
  <c r="X27" i="30"/>
  <c r="W27" i="30"/>
  <c r="S21" i="29"/>
  <c r="T21" i="29" s="1"/>
  <c r="E29" i="30"/>
  <c r="E31" i="30"/>
  <c r="F30" i="30"/>
  <c r="F31" i="30"/>
  <c r="F29" i="30"/>
  <c r="E30" i="30"/>
  <c r="Y26" i="30"/>
  <c r="Y27" i="30"/>
  <c r="E36" i="28"/>
  <c r="E32" i="28"/>
  <c r="F37" i="28"/>
  <c r="E33" i="28"/>
  <c r="F35" i="28"/>
  <c r="E35" i="28"/>
  <c r="E37" i="28"/>
  <c r="F32" i="28"/>
  <c r="F34" i="28"/>
  <c r="E34" i="28"/>
  <c r="F33" i="28"/>
  <c r="F36" i="28"/>
  <c r="F33" i="30"/>
  <c r="E33" i="30"/>
  <c r="F32" i="30"/>
  <c r="E32" i="30"/>
  <c r="F30" i="28"/>
  <c r="E30" i="28"/>
  <c r="E31" i="28"/>
  <c r="F31" i="28"/>
  <c r="E28" i="30"/>
  <c r="E27" i="30"/>
  <c r="F27" i="30"/>
  <c r="F28" i="30"/>
  <c r="E26" i="30"/>
  <c r="F26" i="30"/>
  <c r="AA31" i="28"/>
  <c r="AA30" i="28"/>
  <c r="Z31" i="28"/>
  <c r="Z30" i="28"/>
  <c r="Q18" i="23"/>
  <c r="I18" i="23" s="1"/>
  <c r="Q37" i="23"/>
  <c r="N92" i="26"/>
  <c r="M72" i="18"/>
  <c r="F256" i="1" s="1"/>
  <c r="N69" i="26"/>
  <c r="N68" i="26"/>
  <c r="N67" i="26"/>
  <c r="N66" i="26"/>
  <c r="N65" i="26"/>
  <c r="N64" i="26"/>
  <c r="N63" i="26"/>
  <c r="N62" i="26"/>
  <c r="N61" i="26"/>
  <c r="N60" i="26"/>
  <c r="N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S22" i="29" l="1"/>
  <c r="T22" i="29" s="1"/>
  <c r="AB31" i="28"/>
  <c r="AB30" i="28"/>
  <c r="G33" i="28"/>
  <c r="G30" i="28"/>
  <c r="G32" i="28"/>
  <c r="G32" i="30"/>
  <c r="G31" i="28"/>
  <c r="G26" i="30"/>
  <c r="G28" i="30"/>
  <c r="G27" i="30"/>
  <c r="O21" i="23"/>
  <c r="Y32" i="30"/>
  <c r="N70" i="26"/>
  <c r="T2" i="24" s="1"/>
  <c r="S23" i="29" l="1"/>
  <c r="T23" i="29" s="1"/>
  <c r="AB36" i="28"/>
  <c r="F195" i="1" s="1"/>
  <c r="G41" i="28"/>
  <c r="F194" i="1" s="1"/>
  <c r="G37" i="30"/>
  <c r="E237" i="1"/>
  <c r="E235" i="1"/>
  <c r="E9" i="21"/>
  <c r="S24" i="29" l="1"/>
  <c r="T24" i="29" s="1"/>
  <c r="I24" i="29" s="1"/>
  <c r="S25" i="29" l="1"/>
  <c r="T25" i="29" s="1"/>
  <c r="S26" i="29" l="1"/>
  <c r="T26" i="29" s="1"/>
  <c r="J2" i="24"/>
  <c r="S27" i="29" l="1"/>
  <c r="T27" i="29" s="1"/>
  <c r="I34" i="29"/>
  <c r="Q84" i="18"/>
  <c r="S28" i="29" l="1"/>
  <c r="T28" i="29" s="1"/>
  <c r="AD91" i="26"/>
  <c r="AD90" i="26"/>
  <c r="AD89" i="26"/>
  <c r="AD88" i="26"/>
  <c r="AD87" i="26"/>
  <c r="AD86" i="26"/>
  <c r="AD85" i="26"/>
  <c r="AD84" i="26"/>
  <c r="AD83" i="26"/>
  <c r="AC91" i="26"/>
  <c r="AC90" i="26"/>
  <c r="AC89" i="26"/>
  <c r="AC88" i="26"/>
  <c r="AC87" i="26"/>
  <c r="AC86" i="26"/>
  <c r="AC85" i="26"/>
  <c r="K92" i="26"/>
  <c r="V82" i="26"/>
  <c r="K32" i="23"/>
  <c r="K31" i="23"/>
  <c r="K30" i="23"/>
  <c r="K29" i="23"/>
  <c r="K28" i="23"/>
  <c r="J32" i="23"/>
  <c r="J31" i="23"/>
  <c r="J30" i="23"/>
  <c r="J29" i="23"/>
  <c r="J28" i="23"/>
  <c r="S29" i="29" l="1"/>
  <c r="T29" i="29" s="1"/>
  <c r="P71" i="18"/>
  <c r="P70" i="18"/>
  <c r="P69" i="18"/>
  <c r="P68" i="18"/>
  <c r="P67" i="18"/>
  <c r="P66" i="18"/>
  <c r="P65" i="18"/>
  <c r="P64" i="18"/>
  <c r="P63" i="18"/>
  <c r="P62" i="18"/>
  <c r="P61" i="18"/>
  <c r="P60" i="18"/>
  <c r="P59" i="18"/>
  <c r="P58" i="18"/>
  <c r="P57" i="18"/>
  <c r="P56" i="18"/>
  <c r="P55" i="18"/>
  <c r="P54" i="18"/>
  <c r="P53" i="18"/>
  <c r="P52" i="18"/>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S30" i="29" l="1"/>
  <c r="T30" i="29" s="1"/>
  <c r="Z91" i="26"/>
  <c r="V91" i="26"/>
  <c r="S91" i="26"/>
  <c r="Z90" i="26"/>
  <c r="V90" i="26"/>
  <c r="S90" i="26"/>
  <c r="Z89" i="26"/>
  <c r="V89" i="26"/>
  <c r="S89" i="26"/>
  <c r="X89" i="26" s="1"/>
  <c r="Z88" i="26"/>
  <c r="V88" i="26"/>
  <c r="S88" i="26"/>
  <c r="X88" i="26" s="1"/>
  <c r="Z87" i="26"/>
  <c r="V87" i="26"/>
  <c r="S87" i="26"/>
  <c r="X87" i="26" s="1"/>
  <c r="Z86" i="26"/>
  <c r="V86" i="26"/>
  <c r="S86" i="26"/>
  <c r="Z85" i="26"/>
  <c r="V85" i="26"/>
  <c r="S85" i="26"/>
  <c r="Z84" i="26"/>
  <c r="V84" i="26"/>
  <c r="S84" i="26"/>
  <c r="Z83" i="26"/>
  <c r="V83" i="26"/>
  <c r="S83" i="26"/>
  <c r="Z82" i="26"/>
  <c r="S82" i="26"/>
  <c r="X82" i="26" s="1"/>
  <c r="M92" i="26"/>
  <c r="L92" i="26"/>
  <c r="T69" i="26"/>
  <c r="N2" i="24"/>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G69" i="26"/>
  <c r="G68" i="26"/>
  <c r="G67" i="26"/>
  <c r="G66" i="26"/>
  <c r="G65" i="26"/>
  <c r="G64" i="26"/>
  <c r="G63" i="26"/>
  <c r="G62" i="26"/>
  <c r="G61" i="26"/>
  <c r="G60" i="26"/>
  <c r="G59" i="26"/>
  <c r="G58" i="26"/>
  <c r="G57" i="26"/>
  <c r="G56" i="26"/>
  <c r="G55" i="26"/>
  <c r="G54" i="26"/>
  <c r="G53" i="26"/>
  <c r="G52" i="26"/>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AC71" i="18"/>
  <c r="AC70" i="18"/>
  <c r="AC69" i="18"/>
  <c r="AC68" i="18"/>
  <c r="AC67" i="18"/>
  <c r="AC66" i="18"/>
  <c r="AC65" i="18"/>
  <c r="AC64" i="18"/>
  <c r="AC63" i="18"/>
  <c r="AC62" i="18"/>
  <c r="AC61" i="18"/>
  <c r="AC60" i="18"/>
  <c r="AC59" i="18"/>
  <c r="AC58" i="18"/>
  <c r="AC57" i="18"/>
  <c r="AC56" i="18"/>
  <c r="AC55" i="18"/>
  <c r="AC54" i="18"/>
  <c r="AC53" i="18"/>
  <c r="AC52" i="18"/>
  <c r="AC51" i="18"/>
  <c r="AC50" i="18"/>
  <c r="AC49" i="18"/>
  <c r="AC48" i="18"/>
  <c r="AC47" i="18"/>
  <c r="AC46" i="18"/>
  <c r="AC45" i="18"/>
  <c r="AC44" i="18"/>
  <c r="AC43" i="18"/>
  <c r="AC42" i="18"/>
  <c r="AC41" i="18"/>
  <c r="AC40" i="18"/>
  <c r="AC39" i="18"/>
  <c r="AC38" i="18"/>
  <c r="AC37" i="18"/>
  <c r="AC36" i="18"/>
  <c r="AC35" i="18"/>
  <c r="AC34" i="18"/>
  <c r="AC33" i="18"/>
  <c r="AC32" i="18"/>
  <c r="AC31" i="18"/>
  <c r="AC30" i="18"/>
  <c r="AC29" i="18"/>
  <c r="AC28" i="18"/>
  <c r="AC27" i="18"/>
  <c r="AC26" i="18"/>
  <c r="AC25" i="18"/>
  <c r="AC24" i="18"/>
  <c r="AC23" i="18"/>
  <c r="L2" i="24"/>
  <c r="K2" i="24"/>
  <c r="AD82" i="26" l="1"/>
  <c r="AD93" i="26" s="1"/>
  <c r="AC82" i="26"/>
  <c r="S31" i="29"/>
  <c r="T31" i="29" s="1"/>
  <c r="X90" i="26"/>
  <c r="X91" i="26"/>
  <c r="X86" i="26"/>
  <c r="X84" i="26"/>
  <c r="AC84" i="26" s="1"/>
  <c r="X85" i="26"/>
  <c r="X83" i="26"/>
  <c r="AC83" i="26" s="1"/>
  <c r="AE93" i="26"/>
  <c r="S32" i="29" l="1"/>
  <c r="T32" i="29" s="1"/>
  <c r="X93" i="26"/>
  <c r="AC93" i="26"/>
  <c r="J62" i="1"/>
  <c r="Q8" i="21"/>
  <c r="R13" i="21"/>
  <c r="S33" i="29" l="1"/>
  <c r="T33" i="29" s="1"/>
  <c r="S71" i="18"/>
  <c r="S70" i="18"/>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S35" i="18"/>
  <c r="S34" i="18"/>
  <c r="S33" i="18"/>
  <c r="S32" i="18"/>
  <c r="S31" i="18"/>
  <c r="S30" i="18"/>
  <c r="S29" i="18"/>
  <c r="S28" i="18"/>
  <c r="S27" i="18"/>
  <c r="S26" i="18"/>
  <c r="S25" i="18"/>
  <c r="S24" i="18"/>
  <c r="S23" i="18"/>
  <c r="Q36" i="23" l="1"/>
  <c r="H141" i="1" l="1"/>
  <c r="D69" i="26" l="1"/>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7" i="26"/>
  <c r="D26" i="26"/>
  <c r="D25" i="26"/>
  <c r="D24" i="26"/>
  <c r="D23" i="26"/>
  <c r="D22" i="26"/>
  <c r="D21"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I68" i="26"/>
  <c r="I67" i="26"/>
  <c r="I66" i="26"/>
  <c r="I65" i="26"/>
  <c r="I64" i="26"/>
  <c r="I63" i="26"/>
  <c r="I62" i="26"/>
  <c r="I61" i="26"/>
  <c r="I60" i="26"/>
  <c r="I59" i="26"/>
  <c r="I58" i="26"/>
  <c r="I57" i="26"/>
  <c r="I56" i="26"/>
  <c r="I55" i="26"/>
  <c r="I54" i="26"/>
  <c r="I53" i="26"/>
  <c r="I52" i="26"/>
  <c r="I51" i="26"/>
  <c r="I50" i="26"/>
  <c r="I48" i="26"/>
  <c r="I47" i="26"/>
  <c r="I46" i="26"/>
  <c r="I45" i="26"/>
  <c r="I44" i="26"/>
  <c r="I43" i="26"/>
  <c r="I42" i="26"/>
  <c r="I41" i="26"/>
  <c r="I40" i="26"/>
  <c r="I39" i="26"/>
  <c r="I38" i="26"/>
  <c r="I37" i="26"/>
  <c r="I36" i="26"/>
  <c r="I35" i="26"/>
  <c r="I34" i="26"/>
  <c r="I33" i="26"/>
  <c r="I32" i="26"/>
  <c r="I31" i="26"/>
  <c r="I30" i="26"/>
  <c r="I29" i="26"/>
  <c r="I28" i="26"/>
  <c r="I27" i="26"/>
  <c r="I26" i="26"/>
  <c r="I25" i="26"/>
  <c r="I24" i="26"/>
  <c r="I23" i="26"/>
  <c r="I22" i="26"/>
  <c r="I21" i="26"/>
  <c r="M2" i="24" s="1"/>
  <c r="K69" i="26"/>
  <c r="K68" i="26"/>
  <c r="K67" i="26"/>
  <c r="K66" i="26"/>
  <c r="K65" i="26"/>
  <c r="K64" i="26"/>
  <c r="K63" i="26"/>
  <c r="K62" i="26"/>
  <c r="K61" i="26"/>
  <c r="K60" i="26"/>
  <c r="K59" i="26"/>
  <c r="K58" i="26"/>
  <c r="K57" i="26"/>
  <c r="K56" i="26"/>
  <c r="K55" i="26"/>
  <c r="K54" i="26"/>
  <c r="K53" i="26"/>
  <c r="K52" i="26"/>
  <c r="K51" i="26"/>
  <c r="K50" i="26"/>
  <c r="K49" i="26"/>
  <c r="K48" i="26"/>
  <c r="K47" i="26"/>
  <c r="K46" i="26"/>
  <c r="K45" i="26"/>
  <c r="K44" i="26"/>
  <c r="K43" i="26"/>
  <c r="K42" i="26"/>
  <c r="K41" i="26"/>
  <c r="K40" i="26"/>
  <c r="K39" i="26"/>
  <c r="K38" i="26"/>
  <c r="K37" i="26"/>
  <c r="K36" i="26"/>
  <c r="K35" i="26"/>
  <c r="K34" i="26"/>
  <c r="K33" i="26"/>
  <c r="K32" i="26"/>
  <c r="K31" i="26"/>
  <c r="K30" i="26"/>
  <c r="K29" i="26"/>
  <c r="K28" i="26"/>
  <c r="K27" i="26"/>
  <c r="K26" i="26"/>
  <c r="K25" i="26"/>
  <c r="K24" i="26"/>
  <c r="K23" i="26"/>
  <c r="K22" i="26"/>
  <c r="K21" i="26"/>
  <c r="M69" i="26"/>
  <c r="M68" i="26"/>
  <c r="M67" i="26"/>
  <c r="M66" i="26"/>
  <c r="M65" i="26"/>
  <c r="M64" i="26"/>
  <c r="M63" i="26"/>
  <c r="M62" i="26"/>
  <c r="M61" i="26"/>
  <c r="M60" i="26"/>
  <c r="M59" i="26"/>
  <c r="M58" i="26"/>
  <c r="M57" i="26"/>
  <c r="M56" i="26"/>
  <c r="M55" i="26"/>
  <c r="M54" i="26"/>
  <c r="M53" i="26"/>
  <c r="M52" i="26"/>
  <c r="M51" i="26"/>
  <c r="M50" i="26"/>
  <c r="M49" i="26"/>
  <c r="M48" i="26"/>
  <c r="M47" i="26"/>
  <c r="M46" i="26"/>
  <c r="M45" i="26"/>
  <c r="M44" i="26"/>
  <c r="M43" i="26"/>
  <c r="M42" i="26"/>
  <c r="M41" i="26"/>
  <c r="M40" i="26"/>
  <c r="M39" i="26"/>
  <c r="M38" i="26"/>
  <c r="M37" i="26"/>
  <c r="M36" i="26"/>
  <c r="M35" i="26"/>
  <c r="M34" i="26"/>
  <c r="M33" i="26"/>
  <c r="M32" i="26"/>
  <c r="M31" i="26"/>
  <c r="M30" i="26"/>
  <c r="M29" i="26"/>
  <c r="M28" i="26"/>
  <c r="M27" i="26"/>
  <c r="M26" i="26"/>
  <c r="M25" i="26"/>
  <c r="M24" i="26"/>
  <c r="M23" i="26"/>
  <c r="M22" i="26"/>
  <c r="M21" i="26"/>
  <c r="K20" i="26"/>
  <c r="H20" i="26"/>
  <c r="F20" i="26"/>
  <c r="W62" i="26" l="1"/>
  <c r="AE62" i="26"/>
  <c r="W31" i="26"/>
  <c r="AE31" i="26"/>
  <c r="W39" i="26"/>
  <c r="AE39" i="26"/>
  <c r="W47" i="26"/>
  <c r="AE47" i="26"/>
  <c r="W55" i="26"/>
  <c r="AE55" i="26"/>
  <c r="W63" i="26"/>
  <c r="AE63" i="26"/>
  <c r="W32" i="26"/>
  <c r="AE32" i="26"/>
  <c r="W40" i="26"/>
  <c r="AE40" i="26"/>
  <c r="W48" i="26"/>
  <c r="AE48" i="26"/>
  <c r="W56" i="26"/>
  <c r="AE56" i="26"/>
  <c r="W64" i="26"/>
  <c r="AE64" i="26"/>
  <c r="W46" i="26"/>
  <c r="AE46" i="26"/>
  <c r="W33" i="26"/>
  <c r="AE33" i="26"/>
  <c r="W41" i="26"/>
  <c r="AE41" i="26"/>
  <c r="W49" i="26"/>
  <c r="AE49" i="26"/>
  <c r="W57" i="26"/>
  <c r="AE57" i="26"/>
  <c r="W65" i="26"/>
  <c r="AE65" i="26"/>
  <c r="W26" i="26"/>
  <c r="AE26" i="26"/>
  <c r="W34" i="26"/>
  <c r="AE34" i="26"/>
  <c r="W42" i="26"/>
  <c r="AE42" i="26"/>
  <c r="W50" i="26"/>
  <c r="AE50" i="26"/>
  <c r="W58" i="26"/>
  <c r="AE58" i="26"/>
  <c r="W66" i="26"/>
  <c r="AE66" i="26"/>
  <c r="W38" i="26"/>
  <c r="AE38" i="26"/>
  <c r="W27" i="26"/>
  <c r="AE27" i="26"/>
  <c r="W35" i="26"/>
  <c r="AE35" i="26"/>
  <c r="W43" i="26"/>
  <c r="AE43" i="26"/>
  <c r="W51" i="26"/>
  <c r="AE51" i="26"/>
  <c r="W59" i="26"/>
  <c r="AE59" i="26"/>
  <c r="W67" i="26"/>
  <c r="AE67" i="26"/>
  <c r="W54" i="26"/>
  <c r="AE54" i="26"/>
  <c r="W28" i="26"/>
  <c r="AE28" i="26"/>
  <c r="W36" i="26"/>
  <c r="AE36" i="26"/>
  <c r="W44" i="26"/>
  <c r="AE44" i="26"/>
  <c r="W52" i="26"/>
  <c r="AE52" i="26"/>
  <c r="W60" i="26"/>
  <c r="AE60" i="26"/>
  <c r="W68" i="26"/>
  <c r="AE68" i="26"/>
  <c r="W30" i="26"/>
  <c r="AE30" i="26"/>
  <c r="W29" i="26"/>
  <c r="AE29" i="26"/>
  <c r="W37" i="26"/>
  <c r="AE37" i="26"/>
  <c r="W45" i="26"/>
  <c r="AE45" i="26"/>
  <c r="W53" i="26"/>
  <c r="AE53" i="26"/>
  <c r="W61" i="26"/>
  <c r="AE61" i="26"/>
  <c r="W69" i="26"/>
  <c r="AE69" i="26"/>
  <c r="AE24" i="26"/>
  <c r="AE22" i="26"/>
  <c r="W25" i="26"/>
  <c r="AE25" i="26"/>
  <c r="L30" i="29"/>
  <c r="L29" i="29"/>
  <c r="L28" i="29"/>
  <c r="L32" i="29"/>
  <c r="L33" i="29"/>
  <c r="L31" i="29"/>
  <c r="L27" i="29"/>
  <c r="AE23" i="26"/>
  <c r="W24" i="26"/>
  <c r="W23" i="26"/>
  <c r="W22" i="26"/>
  <c r="W21" i="26"/>
  <c r="T67" i="26"/>
  <c r="T52" i="26"/>
  <c r="T25" i="26"/>
  <c r="T33" i="26"/>
  <c r="T41" i="26"/>
  <c r="T49" i="26"/>
  <c r="T57" i="26"/>
  <c r="T65" i="26"/>
  <c r="T59" i="26"/>
  <c r="T68" i="26"/>
  <c r="T26" i="26"/>
  <c r="T34" i="26"/>
  <c r="T42" i="26"/>
  <c r="T50" i="26"/>
  <c r="T58" i="26"/>
  <c r="T66" i="26"/>
  <c r="T43" i="26"/>
  <c r="T60" i="26"/>
  <c r="T21" i="26"/>
  <c r="T29" i="26"/>
  <c r="T37" i="26"/>
  <c r="T45" i="26"/>
  <c r="T53" i="26"/>
  <c r="T61" i="26"/>
  <c r="T51" i="26"/>
  <c r="T44" i="26"/>
  <c r="T22" i="26"/>
  <c r="T30" i="26"/>
  <c r="T38" i="26"/>
  <c r="T46" i="26"/>
  <c r="T54" i="26"/>
  <c r="T62" i="26"/>
  <c r="T35" i="26"/>
  <c r="T28" i="26"/>
  <c r="T23" i="26"/>
  <c r="T31" i="26"/>
  <c r="T39" i="26"/>
  <c r="T47" i="26"/>
  <c r="T55" i="26"/>
  <c r="T63" i="26"/>
  <c r="T27" i="26"/>
  <c r="T36" i="26"/>
  <c r="T24" i="26"/>
  <c r="T32" i="26"/>
  <c r="T40" i="26"/>
  <c r="T48" i="26"/>
  <c r="T56" i="26"/>
  <c r="T64" i="26"/>
  <c r="E20" i="26"/>
  <c r="L70" i="26" l="1"/>
  <c r="V69" i="26"/>
  <c r="R69" i="26"/>
  <c r="AD69" i="26"/>
  <c r="U69" i="26"/>
  <c r="V68" i="26"/>
  <c r="S68" i="26"/>
  <c r="R68" i="26"/>
  <c r="AD68" i="26"/>
  <c r="U68" i="26"/>
  <c r="V67" i="26"/>
  <c r="R67" i="26"/>
  <c r="AD67" i="26"/>
  <c r="U67" i="26"/>
  <c r="AC66" i="26"/>
  <c r="Z66" i="26"/>
  <c r="R66" i="26"/>
  <c r="AD66" i="26"/>
  <c r="AC65" i="26"/>
  <c r="R65" i="26"/>
  <c r="AD65" i="26"/>
  <c r="V64" i="26"/>
  <c r="R64" i="26"/>
  <c r="AD64" i="26"/>
  <c r="R63" i="26"/>
  <c r="Z63" i="26"/>
  <c r="U62" i="26"/>
  <c r="R62" i="26"/>
  <c r="U61" i="26"/>
  <c r="S61" i="26"/>
  <c r="R61" i="26"/>
  <c r="AD61" i="26"/>
  <c r="R60" i="26"/>
  <c r="AD60" i="26"/>
  <c r="U60" i="26"/>
  <c r="V59" i="26"/>
  <c r="R59" i="26"/>
  <c r="AD59" i="26"/>
  <c r="Z58" i="26"/>
  <c r="R58" i="26"/>
  <c r="AD58" i="26"/>
  <c r="Z57" i="26"/>
  <c r="S57" i="26"/>
  <c r="R57" i="26"/>
  <c r="AD57" i="26"/>
  <c r="V56" i="26"/>
  <c r="R56" i="26"/>
  <c r="AD56" i="26"/>
  <c r="U56" i="26"/>
  <c r="R55" i="26"/>
  <c r="AD55" i="26"/>
  <c r="R54" i="26"/>
  <c r="AD54" i="26"/>
  <c r="R53" i="26"/>
  <c r="AD53" i="26"/>
  <c r="V52" i="26"/>
  <c r="R52" i="26"/>
  <c r="Z52" i="26"/>
  <c r="V51" i="26"/>
  <c r="R51" i="26"/>
  <c r="AD51" i="26"/>
  <c r="U51" i="26"/>
  <c r="AC50" i="26"/>
  <c r="R50" i="26"/>
  <c r="AD50" i="26"/>
  <c r="S49" i="26"/>
  <c r="R49" i="26"/>
  <c r="AD49" i="26"/>
  <c r="R48" i="26"/>
  <c r="AD48" i="26"/>
  <c r="U48" i="26"/>
  <c r="R47" i="26"/>
  <c r="Z47" i="26"/>
  <c r="R46" i="26"/>
  <c r="V45" i="26"/>
  <c r="S45" i="26"/>
  <c r="R45" i="26"/>
  <c r="AD45" i="26"/>
  <c r="V44" i="26"/>
  <c r="S44" i="26"/>
  <c r="R44" i="26"/>
  <c r="Z44" i="26"/>
  <c r="U44" i="26"/>
  <c r="R43" i="26"/>
  <c r="AD43" i="26"/>
  <c r="U43" i="26"/>
  <c r="AC42" i="26"/>
  <c r="Z42" i="26"/>
  <c r="R42" i="26"/>
  <c r="AD42" i="26"/>
  <c r="R41" i="26"/>
  <c r="AD41" i="26"/>
  <c r="R40" i="26"/>
  <c r="AD40" i="26"/>
  <c r="AD39" i="26"/>
  <c r="Z39" i="26"/>
  <c r="R39" i="26"/>
  <c r="R38" i="26"/>
  <c r="V37" i="26"/>
  <c r="R37" i="26"/>
  <c r="AD37" i="26"/>
  <c r="V36" i="26"/>
  <c r="S36" i="26"/>
  <c r="R36" i="26"/>
  <c r="Z36" i="26"/>
  <c r="S35" i="26"/>
  <c r="R35" i="26"/>
  <c r="Z35" i="26"/>
  <c r="R34" i="26"/>
  <c r="AD34" i="26"/>
  <c r="AC33" i="26"/>
  <c r="Z33" i="26"/>
  <c r="R33" i="26"/>
  <c r="AD33" i="26"/>
  <c r="R32" i="26"/>
  <c r="AD32" i="26"/>
  <c r="U32" i="26"/>
  <c r="R31" i="26"/>
  <c r="R30" i="26"/>
  <c r="AD30" i="26"/>
  <c r="S30" i="26"/>
  <c r="U29" i="26"/>
  <c r="S29" i="26"/>
  <c r="R29" i="26"/>
  <c r="S28" i="26"/>
  <c r="R28" i="26"/>
  <c r="R27" i="26"/>
  <c r="Z26" i="26"/>
  <c r="R26" i="26"/>
  <c r="AC25" i="26"/>
  <c r="Z25" i="26"/>
  <c r="R25" i="26"/>
  <c r="S25" i="26"/>
  <c r="R24" i="26"/>
  <c r="S24" i="26"/>
  <c r="R23" i="26"/>
  <c r="R22" i="26"/>
  <c r="Z22" i="26"/>
  <c r="S21" i="26"/>
  <c r="R21" i="26"/>
  <c r="AC21" i="26"/>
  <c r="R81" i="26"/>
  <c r="I194" i="1" l="1"/>
  <c r="J194" i="1"/>
  <c r="I256" i="1"/>
  <c r="J256" i="1" s="1"/>
  <c r="J252" i="1"/>
  <c r="J241" i="1"/>
  <c r="J239" i="1"/>
  <c r="J253" i="1"/>
  <c r="J260" i="1"/>
  <c r="J250" i="1"/>
  <c r="J240" i="1"/>
  <c r="J249" i="1"/>
  <c r="J236" i="1"/>
  <c r="J243" i="1"/>
  <c r="J259" i="1"/>
  <c r="J258" i="1"/>
  <c r="J248" i="1"/>
  <c r="J238" i="1"/>
  <c r="J247" i="1"/>
  <c r="J244" i="1"/>
  <c r="J242" i="1"/>
  <c r="J257" i="1"/>
  <c r="J193" i="1"/>
  <c r="I193" i="1"/>
  <c r="I195" i="1"/>
  <c r="J195" i="1"/>
  <c r="E256" i="1"/>
  <c r="P22" i="18"/>
  <c r="P23" i="18"/>
  <c r="Q19" i="26"/>
  <c r="S22" i="18"/>
  <c r="D20" i="26"/>
  <c r="Z49" i="26"/>
  <c r="U28" i="26"/>
  <c r="V35" i="26"/>
  <c r="U40" i="26"/>
  <c r="S41" i="26"/>
  <c r="V48" i="26"/>
  <c r="AC49" i="26"/>
  <c r="S53" i="26"/>
  <c r="U54" i="26"/>
  <c r="V24" i="26"/>
  <c r="U26" i="26"/>
  <c r="S27" i="26"/>
  <c r="V28" i="26"/>
  <c r="V32" i="26"/>
  <c r="S38" i="26"/>
  <c r="S46" i="26"/>
  <c r="AC48" i="26"/>
  <c r="U52" i="26"/>
  <c r="U53" i="26"/>
  <c r="AC58" i="26"/>
  <c r="S60" i="26"/>
  <c r="V61" i="26"/>
  <c r="X61" i="26" s="1"/>
  <c r="S65" i="26"/>
  <c r="Z68" i="26"/>
  <c r="Z24" i="26"/>
  <c r="U27" i="26"/>
  <c r="AC30" i="26"/>
  <c r="AC32" i="26"/>
  <c r="S37" i="26"/>
  <c r="Z41" i="26"/>
  <c r="U46" i="26"/>
  <c r="V53" i="26"/>
  <c r="V60" i="26"/>
  <c r="AC24" i="26"/>
  <c r="V26" i="26"/>
  <c r="V27" i="26"/>
  <c r="U30" i="26"/>
  <c r="Z34" i="26"/>
  <c r="U36" i="26"/>
  <c r="U37" i="26"/>
  <c r="U38" i="26"/>
  <c r="V40" i="26"/>
  <c r="AC41" i="26"/>
  <c r="Z50" i="26"/>
  <c r="S52" i="26"/>
  <c r="Z60" i="26"/>
  <c r="Z65" i="26"/>
  <c r="AC34" i="26"/>
  <c r="AC40" i="26"/>
  <c r="U45" i="26"/>
  <c r="Z55" i="26"/>
  <c r="U59" i="26"/>
  <c r="U64" i="26"/>
  <c r="Z23" i="26"/>
  <c r="AC26" i="26"/>
  <c r="U31" i="26"/>
  <c r="AC57" i="26"/>
  <c r="S62" i="26"/>
  <c r="S69" i="26"/>
  <c r="U21" i="26"/>
  <c r="S54" i="26"/>
  <c r="V42" i="26"/>
  <c r="U42" i="26"/>
  <c r="S42" i="26"/>
  <c r="K70" i="26"/>
  <c r="Z20" i="26"/>
  <c r="S22" i="26"/>
  <c r="U24" i="26"/>
  <c r="AC27" i="26"/>
  <c r="Z28" i="26"/>
  <c r="AD28" i="26" s="1"/>
  <c r="V34" i="26"/>
  <c r="S43" i="26"/>
  <c r="Z29" i="26"/>
  <c r="AC31" i="26"/>
  <c r="Z31" i="26"/>
  <c r="Z46" i="26"/>
  <c r="V47" i="26"/>
  <c r="S47" i="26"/>
  <c r="Z38" i="26"/>
  <c r="S78" i="26"/>
  <c r="M70" i="26"/>
  <c r="S77" i="26"/>
  <c r="V33" i="26"/>
  <c r="U33" i="26"/>
  <c r="V39" i="26"/>
  <c r="S39" i="26"/>
  <c r="Z21" i="26"/>
  <c r="AD21" i="26" s="1"/>
  <c r="V22" i="26"/>
  <c r="S23" i="26"/>
  <c r="U25" i="26"/>
  <c r="AD25" i="26" s="1"/>
  <c r="AC28" i="26"/>
  <c r="V29" i="26"/>
  <c r="X29" i="26" s="1"/>
  <c r="AC29" i="26"/>
  <c r="AD31" i="26"/>
  <c r="U35" i="26"/>
  <c r="V43" i="26"/>
  <c r="AC46" i="26"/>
  <c r="U47" i="26"/>
  <c r="U22" i="26"/>
  <c r="AD22" i="26"/>
  <c r="V25" i="26"/>
  <c r="S26" i="26"/>
  <c r="AD26" i="26" s="1"/>
  <c r="AD29" i="26"/>
  <c r="S33" i="26"/>
  <c r="AC35" i="26"/>
  <c r="AC38" i="26"/>
  <c r="U39" i="26"/>
  <c r="AC43" i="26"/>
  <c r="Z43" i="26"/>
  <c r="AD46" i="26"/>
  <c r="AC54" i="26"/>
  <c r="Z54" i="26"/>
  <c r="AD27" i="26"/>
  <c r="Z27" i="26"/>
  <c r="V31" i="26"/>
  <c r="S31" i="26"/>
  <c r="U34" i="26"/>
  <c r="S34" i="26"/>
  <c r="AD38" i="26"/>
  <c r="AC47" i="26"/>
  <c r="V58" i="26"/>
  <c r="U58" i="26"/>
  <c r="S58" i="26"/>
  <c r="AC62" i="26"/>
  <c r="Z62" i="26"/>
  <c r="U23" i="26"/>
  <c r="Z30" i="26"/>
  <c r="V23" i="26"/>
  <c r="AD35" i="26"/>
  <c r="AC39" i="26"/>
  <c r="AD47" i="26"/>
  <c r="V50" i="26"/>
  <c r="U50" i="26"/>
  <c r="S50" i="26"/>
  <c r="AD62" i="26"/>
  <c r="V66" i="26"/>
  <c r="U66" i="26"/>
  <c r="S66" i="26"/>
  <c r="V30" i="26"/>
  <c r="AC36" i="26"/>
  <c r="Z37" i="26"/>
  <c r="V38" i="26"/>
  <c r="U41" i="26"/>
  <c r="X44" i="26"/>
  <c r="AC44" i="26"/>
  <c r="Z45" i="26"/>
  <c r="V46" i="26"/>
  <c r="U49" i="26"/>
  <c r="AC52" i="26"/>
  <c r="Z53" i="26"/>
  <c r="V54" i="26"/>
  <c r="S55" i="26"/>
  <c r="U57" i="26"/>
  <c r="AC60" i="26"/>
  <c r="Z61" i="26"/>
  <c r="V62" i="26"/>
  <c r="S63" i="26"/>
  <c r="U65" i="26"/>
  <c r="X68" i="26"/>
  <c r="AC68" i="26"/>
  <c r="Z69" i="26"/>
  <c r="Z32" i="26"/>
  <c r="AD36" i="26"/>
  <c r="Z40" i="26"/>
  <c r="V41" i="26"/>
  <c r="AD44" i="26"/>
  <c r="Z48" i="26"/>
  <c r="V49" i="26"/>
  <c r="AD52" i="26"/>
  <c r="AC55" i="26"/>
  <c r="Z56" i="26"/>
  <c r="V57" i="26"/>
  <c r="AC63" i="26"/>
  <c r="Z64" i="26"/>
  <c r="V65" i="26"/>
  <c r="Z51" i="26"/>
  <c r="U55" i="26"/>
  <c r="Z59" i="26"/>
  <c r="U63" i="26"/>
  <c r="AD63" i="26"/>
  <c r="Z67" i="26"/>
  <c r="S32" i="26"/>
  <c r="AC37" i="26"/>
  <c r="S40" i="26"/>
  <c r="AC45" i="26"/>
  <c r="S48" i="26"/>
  <c r="AC53" i="26"/>
  <c r="V55" i="26"/>
  <c r="S56" i="26"/>
  <c r="AC61" i="26"/>
  <c r="V63" i="26"/>
  <c r="S64" i="26"/>
  <c r="AC69" i="26"/>
  <c r="S51" i="26"/>
  <c r="AC56" i="26"/>
  <c r="S59" i="26"/>
  <c r="AC64" i="26"/>
  <c r="S67" i="26"/>
  <c r="AC51" i="26"/>
  <c r="AC59" i="26"/>
  <c r="AC67" i="26"/>
  <c r="AD23" i="26" l="1"/>
  <c r="I255" i="1"/>
  <c r="I254" i="1" s="1"/>
  <c r="S2" i="24"/>
  <c r="AE21" i="26"/>
  <c r="AE20" i="26"/>
  <c r="J251" i="1"/>
  <c r="J245" i="1"/>
  <c r="AC23" i="26"/>
  <c r="AC22" i="26"/>
  <c r="AD24" i="26"/>
  <c r="W20" i="26"/>
  <c r="T20" i="26"/>
  <c r="R20" i="26"/>
  <c r="AD20" i="26" s="1"/>
  <c r="V21" i="26"/>
  <c r="X21" i="26" s="1"/>
  <c r="U20" i="26"/>
  <c r="S20" i="26"/>
  <c r="X28" i="26"/>
  <c r="X35" i="26"/>
  <c r="X32" i="26"/>
  <c r="X34" i="26"/>
  <c r="X57" i="26"/>
  <c r="X54" i="26"/>
  <c r="X46" i="26"/>
  <c r="X31" i="26"/>
  <c r="X52" i="26"/>
  <c r="X64" i="26"/>
  <c r="X40" i="26"/>
  <c r="X49" i="26"/>
  <c r="X36" i="26"/>
  <c r="X65" i="26"/>
  <c r="X43" i="26"/>
  <c r="X51" i="26"/>
  <c r="X41" i="26"/>
  <c r="X62" i="26"/>
  <c r="X38" i="26"/>
  <c r="X53" i="26"/>
  <c r="X27" i="26"/>
  <c r="X48" i="26"/>
  <c r="X63" i="26"/>
  <c r="X37" i="26"/>
  <c r="X25" i="26"/>
  <c r="X67" i="26"/>
  <c r="X59" i="26"/>
  <c r="X50" i="26"/>
  <c r="X47" i="26"/>
  <c r="X24" i="26"/>
  <c r="X69" i="26"/>
  <c r="X45" i="26"/>
  <c r="X55" i="26"/>
  <c r="X30" i="26"/>
  <c r="X22" i="26"/>
  <c r="X39" i="26"/>
  <c r="X60" i="26"/>
  <c r="X26" i="26"/>
  <c r="X58" i="26"/>
  <c r="X56" i="26"/>
  <c r="X66" i="26"/>
  <c r="X33" i="26"/>
  <c r="X23" i="26"/>
  <c r="X42" i="26"/>
  <c r="M6" i="21"/>
  <c r="N6" i="21"/>
  <c r="G26" i="21"/>
  <c r="G24" i="21"/>
  <c r="C22" i="16"/>
  <c r="AD72" i="26" l="1"/>
  <c r="AE72" i="26"/>
  <c r="O2" i="24" s="1"/>
  <c r="AC20" i="26"/>
  <c r="AC72" i="26" s="1"/>
  <c r="X20" i="26"/>
  <c r="Q22" i="18"/>
  <c r="Q55" i="18"/>
  <c r="X72" i="26" l="1"/>
  <c r="X97" i="26"/>
  <c r="X96" i="26"/>
  <c r="X73" i="26"/>
  <c r="Y77" i="26" s="1"/>
  <c r="Y20" i="26"/>
  <c r="AB20" i="26" s="1"/>
  <c r="Y47" i="26"/>
  <c r="AA47" i="26" s="1"/>
  <c r="Y49" i="26"/>
  <c r="AB49" i="26" s="1"/>
  <c r="Y53" i="26"/>
  <c r="AB53" i="26" s="1"/>
  <c r="Y44" i="26"/>
  <c r="AB44" i="26" s="1"/>
  <c r="Y23" i="26"/>
  <c r="AA23" i="26" s="1"/>
  <c r="Y34" i="26"/>
  <c r="AB34" i="26" s="1"/>
  <c r="Y24" i="26"/>
  <c r="AB24" i="26" s="1"/>
  <c r="Y40" i="26"/>
  <c r="AB40" i="26" s="1"/>
  <c r="Y37" i="26"/>
  <c r="AA37" i="26" s="1"/>
  <c r="Y68" i="26"/>
  <c r="AB68" i="26" s="1"/>
  <c r="Y51" i="26"/>
  <c r="AA51" i="26" s="1"/>
  <c r="Y39" i="26"/>
  <c r="AB39" i="26" s="1"/>
  <c r="Y42" i="26"/>
  <c r="AB42" i="26" s="1"/>
  <c r="Y59" i="26"/>
  <c r="AA59" i="26" s="1"/>
  <c r="Y45" i="26"/>
  <c r="AA45" i="26" s="1"/>
  <c r="Y46" i="26"/>
  <c r="AB46" i="26" s="1"/>
  <c r="Y60" i="26"/>
  <c r="AA60" i="26" s="1"/>
  <c r="Y25" i="26"/>
  <c r="AB25" i="26" s="1"/>
  <c r="Y33" i="26"/>
  <c r="AA33" i="26" s="1"/>
  <c r="Y50" i="26"/>
  <c r="AB50" i="26" s="1"/>
  <c r="Y55" i="26"/>
  <c r="AB55" i="26" s="1"/>
  <c r="Y28" i="26"/>
  <c r="AA28" i="26" s="1"/>
  <c r="Y22" i="26"/>
  <c r="AA22" i="26" s="1"/>
  <c r="Y61" i="26"/>
  <c r="AA61" i="26" s="1"/>
  <c r="Y35" i="26"/>
  <c r="AB35" i="26" s="1"/>
  <c r="Y56" i="26"/>
  <c r="AA56" i="26" s="1"/>
  <c r="Y66" i="26"/>
  <c r="AB66" i="26" s="1"/>
  <c r="Y65" i="26"/>
  <c r="AB65" i="26" s="1"/>
  <c r="Y58" i="26"/>
  <c r="AB58" i="26" s="1"/>
  <c r="Y54" i="26"/>
  <c r="AB54" i="26" s="1"/>
  <c r="Y32" i="26"/>
  <c r="AA32" i="26" s="1"/>
  <c r="Y48" i="26"/>
  <c r="AB48" i="26" s="1"/>
  <c r="Y27" i="26"/>
  <c r="AB27" i="26" s="1"/>
  <c r="Y29" i="26"/>
  <c r="AA29" i="26" s="1"/>
  <c r="Y38" i="26"/>
  <c r="AA38" i="26" s="1"/>
  <c r="Y43" i="26"/>
  <c r="AB43" i="26" s="1"/>
  <c r="Y52" i="26"/>
  <c r="AA52" i="26" s="1"/>
  <c r="Y36" i="26"/>
  <c r="AA36" i="26" s="1"/>
  <c r="Y67" i="26"/>
  <c r="AA67" i="26" s="1"/>
  <c r="Y21" i="26"/>
  <c r="AB21" i="26" s="1"/>
  <c r="Y64" i="26"/>
  <c r="AA64" i="26" s="1"/>
  <c r="Y41" i="26"/>
  <c r="AA41" i="26" s="1"/>
  <c r="Y57" i="26"/>
  <c r="AB57" i="26" s="1"/>
  <c r="Y69" i="26"/>
  <c r="Y63" i="26"/>
  <c r="AB63" i="26" s="1"/>
  <c r="Y26" i="26"/>
  <c r="AA26" i="26" s="1"/>
  <c r="Y30" i="26"/>
  <c r="AA30" i="26" s="1"/>
  <c r="Y62" i="26"/>
  <c r="AB62" i="26" s="1"/>
  <c r="Y31" i="26"/>
  <c r="AB31" i="26" s="1"/>
  <c r="Q23" i="18"/>
  <c r="Q24" i="18"/>
  <c r="Q25" i="18"/>
  <c r="Q26" i="18"/>
  <c r="Q27" i="18"/>
  <c r="Q28" i="18"/>
  <c r="AB69" i="26" l="1"/>
  <c r="Y82" i="26"/>
  <c r="Y83" i="26" s="1"/>
  <c r="Y84" i="26" s="1"/>
  <c r="Y85" i="26" s="1"/>
  <c r="Y86" i="26" s="1"/>
  <c r="Y87" i="26" s="1"/>
  <c r="Y88" i="26" s="1"/>
  <c r="Y89" i="26" s="1"/>
  <c r="Y90" i="26" s="1"/>
  <c r="Y91" i="26" s="1"/>
  <c r="AA20" i="26"/>
  <c r="AA27" i="26"/>
  <c r="AA35" i="26"/>
  <c r="AA68" i="26"/>
  <c r="AB60" i="26"/>
  <c r="AA55" i="26"/>
  <c r="AB64" i="26"/>
  <c r="AA53" i="26"/>
  <c r="AB33" i="26"/>
  <c r="AB56" i="26"/>
  <c r="AB29" i="26"/>
  <c r="AA25" i="26"/>
  <c r="AB45" i="26"/>
  <c r="AA49" i="26"/>
  <c r="AB37" i="26"/>
  <c r="AA31" i="26"/>
  <c r="AA34" i="26"/>
  <c r="AB41" i="26"/>
  <c r="AA44" i="26"/>
  <c r="AB51" i="26"/>
  <c r="AB30" i="26"/>
  <c r="AB67" i="26"/>
  <c r="AB32" i="26"/>
  <c r="AB23" i="26"/>
  <c r="AA40" i="26"/>
  <c r="AB22" i="26"/>
  <c r="AA66" i="26"/>
  <c r="AB47" i="26"/>
  <c r="AA48" i="26"/>
  <c r="AA63" i="26"/>
  <c r="AB52" i="26"/>
  <c r="AA42" i="26"/>
  <c r="AA58" i="26"/>
  <c r="AB61" i="26"/>
  <c r="AB38" i="26"/>
  <c r="AB28" i="26"/>
  <c r="AB26" i="26"/>
  <c r="AB59" i="26"/>
  <c r="AA24" i="26"/>
  <c r="AA69" i="26"/>
  <c r="AA50" i="26"/>
  <c r="AA57" i="26"/>
  <c r="AA62" i="26"/>
  <c r="AA43" i="26"/>
  <c r="AB36" i="26"/>
  <c r="X77" i="26"/>
  <c r="AA21" i="26"/>
  <c r="AA46" i="26"/>
  <c r="AA54" i="26"/>
  <c r="AA65" i="26"/>
  <c r="AA39" i="26"/>
  <c r="I143" i="1"/>
  <c r="I142" i="1"/>
  <c r="AB72" i="26" l="1"/>
  <c r="AA72" i="26"/>
  <c r="X75" i="26" l="1"/>
  <c r="X74" i="26"/>
  <c r="F235" i="1"/>
  <c r="I235" i="1" s="1"/>
  <c r="K18" i="29" l="1"/>
  <c r="K21" i="29"/>
  <c r="K25" i="29"/>
  <c r="K23" i="29"/>
  <c r="K22" i="29"/>
  <c r="K20" i="29"/>
  <c r="K24" i="29"/>
  <c r="K19" i="29"/>
  <c r="J18" i="29"/>
  <c r="J23" i="29"/>
  <c r="J24" i="29"/>
  <c r="J25" i="29"/>
  <c r="J21" i="29"/>
  <c r="J19" i="29"/>
  <c r="J22" i="29"/>
  <c r="J20" i="29"/>
  <c r="J235" i="1"/>
  <c r="AA85" i="26"/>
  <c r="AB85" i="26"/>
  <c r="Q33" i="18"/>
  <c r="AB82" i="26" l="1"/>
  <c r="AA82" i="26"/>
  <c r="AB90" i="26"/>
  <c r="AA90" i="26"/>
  <c r="AB86" i="26"/>
  <c r="AA86" i="26"/>
  <c r="AA84" i="26"/>
  <c r="AB84" i="26"/>
  <c r="AB88" i="26"/>
  <c r="AA88" i="26"/>
  <c r="AB89" i="26"/>
  <c r="AA89" i="26"/>
  <c r="AB83" i="26"/>
  <c r="AA83" i="26"/>
  <c r="AB91" i="26"/>
  <c r="AA91" i="26"/>
  <c r="AB87" i="26"/>
  <c r="AA87" i="26"/>
  <c r="X101" i="26"/>
  <c r="Y101" i="26" s="1"/>
  <c r="U37" i="18"/>
  <c r="AA93" i="26" l="1"/>
  <c r="X98" i="26" s="1"/>
  <c r="AB93" i="26"/>
  <c r="X99" i="26" s="1"/>
  <c r="U31" i="18"/>
  <c r="U32" i="18"/>
  <c r="U33" i="18"/>
  <c r="U34" i="18"/>
  <c r="U35" i="18"/>
  <c r="U36" i="18"/>
  <c r="U38" i="18"/>
  <c r="U39" i="18"/>
  <c r="U40" i="18"/>
  <c r="U41" i="18"/>
  <c r="U42" i="18"/>
  <c r="U43" i="18"/>
  <c r="U44" i="18"/>
  <c r="U45" i="18"/>
  <c r="U46" i="18"/>
  <c r="U47" i="18"/>
  <c r="U48" i="18"/>
  <c r="U49" i="18"/>
  <c r="U50" i="18"/>
  <c r="U51" i="18"/>
  <c r="U52" i="18"/>
  <c r="U53" i="18"/>
  <c r="U54" i="18"/>
  <c r="U55" i="18"/>
  <c r="U56" i="18"/>
  <c r="U57" i="18"/>
  <c r="U58" i="18"/>
  <c r="U59" i="18"/>
  <c r="U60" i="18"/>
  <c r="U61" i="18"/>
  <c r="U62" i="18"/>
  <c r="U63" i="18"/>
  <c r="U64" i="18"/>
  <c r="U65" i="18"/>
  <c r="U66" i="18"/>
  <c r="U67" i="18"/>
  <c r="U68" i="18"/>
  <c r="U69" i="18"/>
  <c r="U70" i="18"/>
  <c r="U71" i="18"/>
  <c r="U30" i="18"/>
  <c r="U29" i="18"/>
  <c r="U28" i="18"/>
  <c r="U27" i="18"/>
  <c r="U26" i="18"/>
  <c r="U25" i="18"/>
  <c r="U24" i="18"/>
  <c r="U23" i="18"/>
  <c r="AA26" i="18"/>
  <c r="AA27" i="18"/>
  <c r="AA28" i="18"/>
  <c r="AA30" i="18"/>
  <c r="AA32" i="18"/>
  <c r="AA33" i="18"/>
  <c r="AA34" i="18"/>
  <c r="AA38" i="18"/>
  <c r="AA42" i="18"/>
  <c r="AA46" i="18"/>
  <c r="AA50" i="18"/>
  <c r="AA52" i="18"/>
  <c r="AA53" i="18"/>
  <c r="AA55" i="18"/>
  <c r="AA56" i="18"/>
  <c r="AA58" i="18"/>
  <c r="AA59" i="18"/>
  <c r="AA60" i="18"/>
  <c r="AA61" i="18"/>
  <c r="AA62" i="18"/>
  <c r="AA63" i="18"/>
  <c r="AA64" i="18"/>
  <c r="AA65" i="18"/>
  <c r="AA66" i="18"/>
  <c r="AA67" i="18"/>
  <c r="AA68" i="18"/>
  <c r="AA69" i="18"/>
  <c r="AA70" i="18"/>
  <c r="AA71" i="18"/>
  <c r="AB25" i="18"/>
  <c r="AB54" i="18"/>
  <c r="AB57" i="18"/>
  <c r="AB58" i="18"/>
  <c r="AB59" i="18"/>
  <c r="AB60" i="18"/>
  <c r="AB61" i="18"/>
  <c r="AB62" i="18"/>
  <c r="AB63" i="18"/>
  <c r="AB64" i="18"/>
  <c r="AB65" i="18"/>
  <c r="AB66" i="18"/>
  <c r="AB67" i="18"/>
  <c r="AB68" i="18"/>
  <c r="AB69" i="18"/>
  <c r="AB70" i="18"/>
  <c r="AB71" i="18"/>
  <c r="X71" i="18"/>
  <c r="X70" i="18"/>
  <c r="X69" i="18"/>
  <c r="X68" i="18"/>
  <c r="X67" i="18"/>
  <c r="X66" i="18"/>
  <c r="X65" i="18"/>
  <c r="X64" i="18"/>
  <c r="X63" i="18"/>
  <c r="X62" i="18"/>
  <c r="X61" i="18"/>
  <c r="X60" i="18"/>
  <c r="X59" i="18"/>
  <c r="X58" i="18"/>
  <c r="X57" i="18"/>
  <c r="X56" i="18"/>
  <c r="X55" i="18"/>
  <c r="X54" i="18"/>
  <c r="X53" i="18"/>
  <c r="X52" i="18"/>
  <c r="X51" i="18"/>
  <c r="X50" i="18"/>
  <c r="X49" i="18"/>
  <c r="X48" i="18"/>
  <c r="X47" i="18"/>
  <c r="X46" i="18"/>
  <c r="X45" i="18"/>
  <c r="X44" i="18"/>
  <c r="X43" i="18"/>
  <c r="X42" i="18"/>
  <c r="X41" i="18"/>
  <c r="X40" i="18"/>
  <c r="X39" i="18"/>
  <c r="X38" i="18"/>
  <c r="X37" i="18"/>
  <c r="X36" i="18"/>
  <c r="X35" i="18"/>
  <c r="X34" i="18"/>
  <c r="X33" i="18"/>
  <c r="X32" i="18"/>
  <c r="X31" i="18"/>
  <c r="X30" i="18"/>
  <c r="X29" i="18"/>
  <c r="AB29" i="18" s="1"/>
  <c r="X28" i="18"/>
  <c r="X27" i="18"/>
  <c r="X26" i="18"/>
  <c r="X25" i="18"/>
  <c r="X24" i="18"/>
  <c r="X23" i="18"/>
  <c r="X22" i="18"/>
  <c r="T71" i="18"/>
  <c r="T70" i="18"/>
  <c r="T69" i="18"/>
  <c r="T68" i="18"/>
  <c r="T67" i="18"/>
  <c r="T66" i="18"/>
  <c r="T65" i="18"/>
  <c r="T64" i="18"/>
  <c r="T63" i="18"/>
  <c r="T62" i="18"/>
  <c r="T61" i="18"/>
  <c r="T60" i="18"/>
  <c r="T59" i="18"/>
  <c r="T58" i="18"/>
  <c r="T57" i="18"/>
  <c r="T56" i="18"/>
  <c r="T55" i="18"/>
  <c r="T54" i="18"/>
  <c r="T53" i="18"/>
  <c r="T52" i="18"/>
  <c r="T51" i="18"/>
  <c r="T50" i="18"/>
  <c r="T49" i="18"/>
  <c r="AA49" i="18" s="1"/>
  <c r="T48" i="18"/>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R71" i="18"/>
  <c r="R70" i="18"/>
  <c r="R69" i="18"/>
  <c r="R68" i="18"/>
  <c r="R67" i="18"/>
  <c r="R66" i="18"/>
  <c r="R65" i="18"/>
  <c r="R64" i="18"/>
  <c r="R63" i="18"/>
  <c r="R62" i="18"/>
  <c r="R61" i="18"/>
  <c r="R60" i="18"/>
  <c r="R59" i="18"/>
  <c r="R58" i="18"/>
  <c r="R57" i="18"/>
  <c r="R56" i="18"/>
  <c r="R55" i="18"/>
  <c r="R54" i="18"/>
  <c r="R53" i="18"/>
  <c r="R52" i="18"/>
  <c r="R51" i="18"/>
  <c r="R50" i="18"/>
  <c r="R49" i="18"/>
  <c r="R48" i="18"/>
  <c r="R47" i="18"/>
  <c r="AA47" i="18" s="1"/>
  <c r="R46" i="18"/>
  <c r="R45" i="18"/>
  <c r="R44" i="18"/>
  <c r="R43" i="18"/>
  <c r="AA43" i="18" s="1"/>
  <c r="R42" i="18"/>
  <c r="R41" i="18"/>
  <c r="R40" i="18"/>
  <c r="R39" i="18"/>
  <c r="R38" i="18"/>
  <c r="R37" i="18"/>
  <c r="R36" i="18"/>
  <c r="R35" i="18"/>
  <c r="R34" i="18"/>
  <c r="R33" i="18"/>
  <c r="R32" i="18"/>
  <c r="R31" i="18"/>
  <c r="R30" i="18"/>
  <c r="R29" i="18"/>
  <c r="R28" i="18"/>
  <c r="R27" i="18"/>
  <c r="R26" i="18"/>
  <c r="R25" i="18"/>
  <c r="R24" i="18"/>
  <c r="R23" i="18"/>
  <c r="R22" i="18"/>
  <c r="AA22" i="18" l="1"/>
  <c r="AB23" i="18"/>
  <c r="AB41" i="18"/>
  <c r="AB37" i="18"/>
  <c r="AB44" i="18"/>
  <c r="AB31" i="18"/>
  <c r="AB36" i="18"/>
  <c r="AB40" i="18"/>
  <c r="AB48" i="18"/>
  <c r="AB51" i="18"/>
  <c r="AB45" i="18"/>
  <c r="AA35" i="18"/>
  <c r="I141" i="1" l="1"/>
  <c r="I2" i="24"/>
  <c r="C2" i="24"/>
  <c r="G43" i="21" l="1"/>
  <c r="AC74" i="18" l="1"/>
  <c r="E36" i="21" s="1"/>
  <c r="N11" i="21" l="1"/>
  <c r="L72" i="18"/>
  <c r="K72" i="18"/>
  <c r="J82" i="1"/>
  <c r="M22" i="21"/>
  <c r="E47" i="21"/>
  <c r="E46" i="21"/>
  <c r="R80" i="18"/>
  <c r="R79" i="18"/>
  <c r="E255" i="1" l="1"/>
  <c r="F255" i="1"/>
  <c r="N8" i="21"/>
  <c r="G25" i="21"/>
  <c r="AA21" i="21"/>
  <c r="F254" i="1" l="1"/>
  <c r="J255" i="1"/>
  <c r="J254" i="1" s="1"/>
  <c r="F237" i="1"/>
  <c r="F234" i="1" l="1"/>
  <c r="I237" i="1"/>
  <c r="S295" i="1" s="1"/>
  <c r="I228" i="1"/>
  <c r="I226" i="1"/>
  <c r="P283" i="1" l="1"/>
  <c r="Q283" i="1" s="1"/>
  <c r="P287" i="1"/>
  <c r="Q287" i="1" s="1"/>
  <c r="R287" i="1" s="1"/>
  <c r="J237" i="1"/>
  <c r="J234" i="1" s="1"/>
  <c r="I234" i="1"/>
  <c r="Q32" i="23"/>
  <c r="Q31" i="23"/>
  <c r="Q30" i="23"/>
  <c r="Q29" i="23"/>
  <c r="Q28" i="23"/>
  <c r="Q27" i="23"/>
  <c r="Q26" i="23"/>
  <c r="Q25" i="23"/>
  <c r="Q24" i="23"/>
  <c r="Q23" i="23"/>
  <c r="I23" i="23" s="1"/>
  <c r="Q22" i="23"/>
  <c r="I22" i="23" s="1"/>
  <c r="Q21" i="23"/>
  <c r="I21" i="23" s="1"/>
  <c r="Q20" i="23"/>
  <c r="I20" i="23" s="1"/>
  <c r="Q19" i="23"/>
  <c r="I19" i="23" s="1"/>
  <c r="Q71" i="18"/>
  <c r="Q70" i="18"/>
  <c r="Q69" i="18"/>
  <c r="Q68" i="18"/>
  <c r="Q67" i="18"/>
  <c r="Q66" i="18"/>
  <c r="Q65" i="18"/>
  <c r="Q64" i="18"/>
  <c r="Q63" i="18"/>
  <c r="Q62" i="18"/>
  <c r="Q61" i="18"/>
  <c r="Q60" i="18"/>
  <c r="Q59" i="18"/>
  <c r="Q58" i="18"/>
  <c r="V58" i="18" s="1"/>
  <c r="Q57" i="18"/>
  <c r="Q56" i="18"/>
  <c r="Q54" i="18"/>
  <c r="Q53" i="18"/>
  <c r="Q52" i="18"/>
  <c r="Q51" i="18"/>
  <c r="Q50" i="18"/>
  <c r="Q49" i="18"/>
  <c r="Q48" i="18"/>
  <c r="Q47" i="18"/>
  <c r="Q46" i="18"/>
  <c r="Q45" i="18"/>
  <c r="Q44" i="18"/>
  <c r="Q43" i="18"/>
  <c r="Q42" i="18"/>
  <c r="Q41" i="18"/>
  <c r="Q40" i="18"/>
  <c r="Q39" i="18"/>
  <c r="AB39" i="18" s="1"/>
  <c r="Q38" i="18"/>
  <c r="Q37" i="18"/>
  <c r="Q36" i="18"/>
  <c r="Q35" i="18"/>
  <c r="Q34" i="18"/>
  <c r="Q32" i="18"/>
  <c r="Q31" i="18"/>
  <c r="Q30" i="18"/>
  <c r="Q29" i="18"/>
  <c r="AA24" i="18"/>
  <c r="AA23" i="18"/>
  <c r="AB22" i="18"/>
  <c r="P295" i="1" l="1"/>
  <c r="Q295" i="1" s="1"/>
  <c r="R295" i="1" s="1"/>
  <c r="P291" i="1"/>
  <c r="Q291" i="1" s="1"/>
  <c r="I262" i="1"/>
  <c r="G282" i="1" s="1"/>
  <c r="V42" i="18"/>
  <c r="AB42" i="18"/>
  <c r="AB27" i="18"/>
  <c r="AB35" i="18"/>
  <c r="AB43" i="18"/>
  <c r="AA51" i="18"/>
  <c r="AB52" i="18"/>
  <c r="AA36" i="18"/>
  <c r="AA37" i="18"/>
  <c r="AA45" i="18"/>
  <c r="AB53" i="18"/>
  <c r="AB28" i="18"/>
  <c r="AB30" i="18"/>
  <c r="AA54" i="18"/>
  <c r="AB26" i="18"/>
  <c r="V50" i="18"/>
  <c r="AB50" i="18"/>
  <c r="AA44" i="18"/>
  <c r="AA29" i="18"/>
  <c r="AB46" i="18"/>
  <c r="AA31" i="18"/>
  <c r="AA39" i="18"/>
  <c r="AB47" i="18"/>
  <c r="AB55" i="18"/>
  <c r="AB32" i="18"/>
  <c r="AA40" i="18"/>
  <c r="AA48" i="18"/>
  <c r="AB56" i="18"/>
  <c r="AB38" i="18"/>
  <c r="AA25" i="18"/>
  <c r="AB33" i="18"/>
  <c r="AA41" i="18"/>
  <c r="AB49" i="18"/>
  <c r="AA57" i="18"/>
  <c r="V34" i="18"/>
  <c r="AB34" i="18"/>
  <c r="V24" i="18"/>
  <c r="AB24" i="18"/>
  <c r="V22" i="18"/>
  <c r="V66" i="18"/>
  <c r="V23" i="18"/>
  <c r="V25" i="18"/>
  <c r="V55" i="18"/>
  <c r="V63" i="18"/>
  <c r="V71" i="18"/>
  <c r="V33" i="18"/>
  <c r="V31" i="18"/>
  <c r="V39" i="18"/>
  <c r="V47" i="18"/>
  <c r="V29" i="18"/>
  <c r="V37" i="18"/>
  <c r="V45" i="18"/>
  <c r="V53" i="18"/>
  <c r="V61" i="18"/>
  <c r="V69" i="18"/>
  <c r="V56" i="18"/>
  <c r="V64" i="18"/>
  <c r="V32" i="18"/>
  <c r="V40" i="18"/>
  <c r="V35" i="18"/>
  <c r="V43" i="18"/>
  <c r="V51" i="18"/>
  <c r="V59" i="18"/>
  <c r="V67" i="18"/>
  <c r="V26" i="18"/>
  <c r="V48" i="18"/>
  <c r="V27" i="18"/>
  <c r="V30" i="18"/>
  <c r="V38" i="18"/>
  <c r="V46" i="18"/>
  <c r="V54" i="18"/>
  <c r="V62" i="18"/>
  <c r="V70" i="18"/>
  <c r="V49" i="18"/>
  <c r="V57" i="18"/>
  <c r="V41" i="18"/>
  <c r="V65" i="18"/>
  <c r="V28" i="18"/>
  <c r="V36" i="18"/>
  <c r="V44" i="18"/>
  <c r="V52" i="18"/>
  <c r="V60" i="18"/>
  <c r="V68" i="18"/>
  <c r="I281" i="1"/>
  <c r="C26" i="16"/>
  <c r="C25" i="16"/>
  <c r="C24" i="16"/>
  <c r="C23" i="16"/>
  <c r="I3" i="31" l="1"/>
  <c r="H3" i="31"/>
  <c r="G233" i="1"/>
  <c r="G231" i="1" s="1"/>
  <c r="Y2" i="24"/>
  <c r="AB74" i="18"/>
  <c r="AA74" i="18"/>
  <c r="V75" i="18"/>
  <c r="W79" i="18" s="1"/>
  <c r="W30" i="18"/>
  <c r="W31" i="18"/>
  <c r="W39" i="18"/>
  <c r="W47" i="18"/>
  <c r="W55" i="18"/>
  <c r="W63" i="18"/>
  <c r="W71" i="18"/>
  <c r="W35" i="18"/>
  <c r="W67" i="18"/>
  <c r="W28" i="18"/>
  <c r="W60" i="18"/>
  <c r="W37" i="18"/>
  <c r="W70" i="18"/>
  <c r="W32" i="18"/>
  <c r="W40" i="18"/>
  <c r="W48" i="18"/>
  <c r="W56" i="18"/>
  <c r="W64" i="18"/>
  <c r="W24" i="18"/>
  <c r="W43" i="18"/>
  <c r="W52" i="18"/>
  <c r="W69" i="18"/>
  <c r="W46" i="18"/>
  <c r="W25" i="18"/>
  <c r="W33" i="18"/>
  <c r="W41" i="18"/>
  <c r="W49" i="18"/>
  <c r="W57" i="18"/>
  <c r="W65" i="18"/>
  <c r="W23" i="18"/>
  <c r="W27" i="18"/>
  <c r="W59" i="18"/>
  <c r="W44" i="18"/>
  <c r="W29" i="18"/>
  <c r="W45" i="18"/>
  <c r="W53" i="18"/>
  <c r="W54" i="18"/>
  <c r="W26" i="18"/>
  <c r="W34" i="18"/>
  <c r="W42" i="18"/>
  <c r="W50" i="18"/>
  <c r="W58" i="18"/>
  <c r="W66" i="18"/>
  <c r="W22" i="18"/>
  <c r="W51" i="18"/>
  <c r="W36" i="18"/>
  <c r="W68" i="18"/>
  <c r="W61" i="18"/>
  <c r="W38" i="18"/>
  <c r="W62" i="18"/>
  <c r="V74" i="18"/>
  <c r="Z51" i="18" l="1"/>
  <c r="Z54" i="18"/>
  <c r="Z65" i="18"/>
  <c r="Z52" i="18"/>
  <c r="Z70" i="18"/>
  <c r="Z55" i="18"/>
  <c r="Z43" i="18"/>
  <c r="Z66" i="18"/>
  <c r="Z45" i="18"/>
  <c r="Z49" i="18"/>
  <c r="Z60" i="18"/>
  <c r="Z39" i="18"/>
  <c r="Z58" i="18"/>
  <c r="Z29" i="18"/>
  <c r="Z41" i="18"/>
  <c r="Z28" i="18"/>
  <c r="Z31" i="18"/>
  <c r="Z57" i="18"/>
  <c r="Z62" i="18"/>
  <c r="Z38" i="18"/>
  <c r="Z50" i="18"/>
  <c r="Z44" i="18"/>
  <c r="Z33" i="18"/>
  <c r="Z56" i="18"/>
  <c r="Z67" i="18"/>
  <c r="Z30" i="18"/>
  <c r="Z37" i="18"/>
  <c r="Z61" i="18"/>
  <c r="Z59" i="18"/>
  <c r="Z25" i="18"/>
  <c r="Z48" i="18"/>
  <c r="Z47" i="18"/>
  <c r="Z42" i="18"/>
  <c r="Z68" i="18"/>
  <c r="Z34" i="18"/>
  <c r="Z27" i="18"/>
  <c r="Z46" i="18"/>
  <c r="Z40" i="18"/>
  <c r="Z71" i="18"/>
  <c r="Z53" i="18"/>
  <c r="Z36" i="18"/>
  <c r="Z26" i="18"/>
  <c r="Z69" i="18"/>
  <c r="Z32" i="18"/>
  <c r="Z63" i="18"/>
  <c r="Z22" i="18"/>
  <c r="Y22" i="18"/>
  <c r="Z24" i="18"/>
  <c r="Y24" i="18"/>
  <c r="Y23" i="18"/>
  <c r="Z23" i="18"/>
  <c r="V79" i="18"/>
  <c r="Z35" i="18"/>
  <c r="Z64" i="18"/>
  <c r="Y61" i="18"/>
  <c r="Y71" i="18"/>
  <c r="Y36" i="18"/>
  <c r="Y26" i="18"/>
  <c r="Y69" i="18"/>
  <c r="Y32" i="18"/>
  <c r="Y63" i="18"/>
  <c r="Y42" i="18"/>
  <c r="Y65" i="18"/>
  <c r="Y52" i="18"/>
  <c r="Y70" i="18"/>
  <c r="Y55" i="18"/>
  <c r="Y48" i="18"/>
  <c r="Y46" i="18"/>
  <c r="Y54" i="18"/>
  <c r="Y53" i="18"/>
  <c r="Y57" i="18"/>
  <c r="Y43" i="18"/>
  <c r="Y37" i="18"/>
  <c r="Y47" i="18"/>
  <c r="Y25" i="18"/>
  <c r="Y40" i="18"/>
  <c r="Y51" i="18"/>
  <c r="Y66" i="18"/>
  <c r="Y45" i="18"/>
  <c r="Y49" i="18"/>
  <c r="Y60" i="18"/>
  <c r="Y39" i="18"/>
  <c r="Y35" i="18"/>
  <c r="Y34" i="18"/>
  <c r="Y62" i="18"/>
  <c r="Y58" i="18"/>
  <c r="Y29" i="18"/>
  <c r="Y41" i="18"/>
  <c r="Y64" i="18"/>
  <c r="Y28" i="18"/>
  <c r="Y31" i="18"/>
  <c r="Y59" i="18"/>
  <c r="Y68" i="18"/>
  <c r="Y27" i="18"/>
  <c r="Y38" i="18"/>
  <c r="Y50" i="18"/>
  <c r="Y44" i="18"/>
  <c r="Y33" i="18"/>
  <c r="Y56" i="18"/>
  <c r="Y67" i="18"/>
  <c r="Y30" i="18"/>
  <c r="P83" i="1"/>
  <c r="J95" i="1" l="1"/>
  <c r="N15" i="21" s="1"/>
  <c r="Z74" i="18"/>
  <c r="Y74" i="18"/>
  <c r="L59" i="21"/>
  <c r="P84" i="1"/>
  <c r="J84" i="1" s="1"/>
  <c r="I62" i="21"/>
  <c r="I61" i="21"/>
  <c r="I60" i="21"/>
  <c r="I57" i="21"/>
  <c r="I56" i="21"/>
  <c r="J86" i="1" l="1"/>
  <c r="V76" i="18"/>
  <c r="V77" i="18"/>
  <c r="J27" i="23" l="1"/>
  <c r="K27" i="23"/>
  <c r="J26" i="23"/>
  <c r="K26" i="23"/>
  <c r="J17" i="29"/>
  <c r="K25" i="23"/>
  <c r="K17" i="29"/>
  <c r="P87" i="1"/>
  <c r="J19" i="23"/>
  <c r="L19" i="23" s="1"/>
  <c r="J25" i="23"/>
  <c r="J17" i="23"/>
  <c r="J16" i="23" s="1"/>
  <c r="J18" i="23"/>
  <c r="J20" i="23"/>
  <c r="J23" i="23"/>
  <c r="J22" i="23"/>
  <c r="J24" i="23"/>
  <c r="J21" i="23"/>
  <c r="K17" i="23"/>
  <c r="K16" i="23" s="1"/>
  <c r="K20" i="23"/>
  <c r="K21" i="23"/>
  <c r="K19" i="23"/>
  <c r="K18" i="23"/>
  <c r="K24" i="23"/>
  <c r="K23" i="23"/>
  <c r="K22" i="23"/>
  <c r="L18" i="23" l="1"/>
  <c r="L86" i="1"/>
  <c r="C9" i="16" s="1"/>
  <c r="L25" i="23"/>
  <c r="L24" i="23"/>
  <c r="L21" i="29"/>
  <c r="L25" i="29"/>
  <c r="L22" i="29"/>
  <c r="L20" i="29"/>
  <c r="L26" i="29"/>
  <c r="L21" i="23"/>
  <c r="L22" i="23"/>
  <c r="L23" i="29"/>
  <c r="L23" i="23"/>
  <c r="L20" i="23"/>
  <c r="L24" i="29"/>
  <c r="L19" i="29"/>
  <c r="L34" i="29" l="1"/>
  <c r="J192" i="1" s="1"/>
  <c r="L33" i="23"/>
  <c r="E192" i="1" s="1"/>
  <c r="O192" i="1" s="1"/>
  <c r="I192" i="1"/>
  <c r="G33" i="23"/>
  <c r="E193" i="1" s="1"/>
  <c r="I33" i="23"/>
  <c r="F193" i="1" s="1"/>
  <c r="E196" i="1" l="1"/>
  <c r="E217" i="1" s="1"/>
  <c r="F192" i="1"/>
  <c r="I196" i="1"/>
  <c r="G281" i="1" l="1"/>
  <c r="G283" i="1" s="1"/>
  <c r="I217" i="1"/>
  <c r="J217" i="1" s="1"/>
  <c r="G217" i="1"/>
  <c r="E50" i="21" s="1"/>
  <c r="AE2" i="24" l="1"/>
  <c r="F196" i="1"/>
  <c r="F217" i="1" l="1"/>
  <c r="J196" i="1"/>
  <c r="S291" i="1" s="1"/>
  <c r="R291" i="1" s="1"/>
  <c r="G287" i="1" s="1"/>
  <c r="E4" i="31" s="1"/>
  <c r="F281" i="1"/>
  <c r="E49" i="21"/>
  <c r="S283" i="1" l="1"/>
  <c r="R283" i="1" l="1"/>
  <c r="F287" i="1" s="1"/>
  <c r="E53" i="21" l="1"/>
  <c r="L52" i="21" s="1"/>
  <c r="F233" i="1"/>
  <c r="E233" i="1" s="1"/>
  <c r="J233" i="1"/>
  <c r="J262" i="1" s="1"/>
  <c r="E5" i="31"/>
  <c r="E6" i="31" s="1"/>
  <c r="B6" i="31"/>
  <c r="E7" i="31" l="1"/>
  <c r="F262" i="1"/>
  <c r="E48" i="21" s="1"/>
  <c r="F282" i="1" l="1"/>
  <c r="L51" i="21" s="1"/>
  <c r="E8" i="31"/>
  <c r="F283" i="1" l="1"/>
</calcChain>
</file>

<file path=xl/sharedStrings.xml><?xml version="1.0" encoding="utf-8"?>
<sst xmlns="http://schemas.openxmlformats.org/spreadsheetml/2006/main" count="1098" uniqueCount="860">
  <si>
    <t>OUI/NON</t>
  </si>
  <si>
    <t>Rapport final</t>
  </si>
  <si>
    <t>Requérant</t>
  </si>
  <si>
    <t>Formulaire de demande</t>
  </si>
  <si>
    <t>SECTION A : IDENTIFICATION DU REQUÉRANT</t>
  </si>
  <si>
    <t xml:space="preserve">Prénom </t>
  </si>
  <si>
    <t>Nom</t>
  </si>
  <si>
    <t>Titre de la personne-ressource</t>
  </si>
  <si>
    <t>Téléphone de la personne-ressource</t>
  </si>
  <si>
    <t>Courriel de la personne-ressource</t>
  </si>
  <si>
    <r>
      <t xml:space="preserve">Personne-ressource pour le traitement du dossier </t>
    </r>
    <r>
      <rPr>
        <b/>
        <i/>
        <sz val="12"/>
        <color theme="4" tint="-0.499984740745262"/>
        <rFont val="Arial"/>
        <family val="2"/>
      </rPr>
      <t>(si différent du Requérant)</t>
    </r>
  </si>
  <si>
    <t>Province</t>
  </si>
  <si>
    <t>Québec</t>
  </si>
  <si>
    <t>TOTAL BUDGET</t>
  </si>
  <si>
    <t>Représentant officiel de l'entreprise - personne autorisée à signer</t>
  </si>
  <si>
    <t>* Nom de l'entreprise requérante</t>
  </si>
  <si>
    <t>* Adresse</t>
  </si>
  <si>
    <t>* Ville</t>
  </si>
  <si>
    <t>* Code postal</t>
  </si>
  <si>
    <t xml:space="preserve">* Prénom </t>
  </si>
  <si>
    <t>* Titre du représentant officiel de l'entreprise</t>
  </si>
  <si>
    <t>* Téléphone du représentant officiel de l'entreprise</t>
  </si>
  <si>
    <t>* Courriel du représentant officiel de l'entreprise</t>
  </si>
  <si>
    <t>* Nom</t>
  </si>
  <si>
    <t>* Montant demandé à la SODEC</t>
  </si>
  <si>
    <t>Recommandation</t>
  </si>
  <si>
    <t>Nom de l'entreprise requérante</t>
  </si>
  <si>
    <t>No participation</t>
  </si>
  <si>
    <t>No Dossier</t>
  </si>
  <si>
    <t>Objet</t>
  </si>
  <si>
    <t>Adresse</t>
  </si>
  <si>
    <t>Ville</t>
  </si>
  <si>
    <t>Code postal</t>
  </si>
  <si>
    <t>Subvention recommandée</t>
  </si>
  <si>
    <t>Deuxième versement (30 %)</t>
  </si>
  <si>
    <t>Commentaires de l'analyste</t>
  </si>
  <si>
    <t>Date</t>
  </si>
  <si>
    <t>Élaine Dumont</t>
  </si>
  <si>
    <t>Directrice Affaires internationales, exportation 
et mise en marché du cinéma</t>
  </si>
  <si>
    <r>
      <rPr>
        <b/>
        <i/>
        <sz val="14"/>
        <rFont val="Arial"/>
        <family val="2"/>
      </rPr>
      <t>ATTENTION : CONSERVER CE DOCUMENT POUR SOUMETTRE VOTRE RAPPORT FINAL</t>
    </r>
    <r>
      <rPr>
        <b/>
        <i/>
        <sz val="13"/>
        <rFont val="Arial"/>
        <family val="2"/>
      </rPr>
      <t xml:space="preserve">
TOUT DOSSIER INCOMPLET SERA REFUSÉ
Les champs marqués d'un astérisque ( * ) sont obligatoires</t>
    </r>
  </si>
  <si>
    <t>Statistiques</t>
  </si>
  <si>
    <t>Actuel</t>
  </si>
  <si>
    <t>Jauge moyenne d'un spectacle en salle en tête d'affiche</t>
  </si>
  <si>
    <t>Total Frais de déplacement</t>
  </si>
  <si>
    <t>Étape 1.</t>
  </si>
  <si>
    <t>Étape 2.</t>
  </si>
  <si>
    <t>Étape 3.</t>
  </si>
  <si>
    <t>Étape 4.</t>
  </si>
  <si>
    <t>Répondre aux questions ci-dessous</t>
  </si>
  <si>
    <r>
      <t xml:space="preserve">Niveau de couverture médiatique sur le territoire 
</t>
    </r>
    <r>
      <rPr>
        <i/>
        <sz val="10"/>
        <color theme="4" tint="-0.499984740745262"/>
        <rFont val="Arial"/>
        <family val="2"/>
      </rPr>
      <t>(liste déroulante)</t>
    </r>
  </si>
  <si>
    <t>COUVERTURE_MEDIA</t>
  </si>
  <si>
    <t>Inexistante</t>
  </si>
  <si>
    <t>Modeste</t>
  </si>
  <si>
    <t>Moyenne ampleur</t>
  </si>
  <si>
    <t>Grande ampleur</t>
  </si>
  <si>
    <t>Territoire visé 1</t>
  </si>
  <si>
    <t>Territoire visé 2</t>
  </si>
  <si>
    <t>Territoire visé 3</t>
  </si>
  <si>
    <t>Indicateurs globaux Monde</t>
  </si>
  <si>
    <t>Nom du représentant officiel</t>
  </si>
  <si>
    <t>vérifié</t>
  </si>
  <si>
    <t>RAPPORT FINAL</t>
  </si>
  <si>
    <t>SECTION B : PROJET</t>
  </si>
  <si>
    <t>INSTRUCTIONS GÉNÉRALES</t>
  </si>
  <si>
    <t>Instructions</t>
  </si>
  <si>
    <t>masquer Colonne mais ne pas supprimer</t>
  </si>
  <si>
    <t>accès rapide au rapport final</t>
  </si>
  <si>
    <t>Écart
%</t>
  </si>
  <si>
    <r>
      <t xml:space="preserve">Niveau de diffusion radio
</t>
    </r>
    <r>
      <rPr>
        <i/>
        <sz val="10"/>
        <rFont val="Arial"/>
        <family val="2"/>
      </rPr>
      <t>(liste déroulante)</t>
    </r>
  </si>
  <si>
    <t>Étape 5.</t>
  </si>
  <si>
    <t>RECOMMANDATION</t>
  </si>
  <si>
    <t>Étape 6.</t>
  </si>
  <si>
    <t xml:space="preserve">Pour déposer une demande </t>
  </si>
  <si>
    <r>
      <t xml:space="preserve">compléter tous les champs requis dans le présent formulaire 
</t>
    </r>
    <r>
      <rPr>
        <b/>
        <i/>
        <sz val="16"/>
        <color rgb="FF0070C0"/>
        <rFont val="Arial"/>
        <family val="2"/>
      </rPr>
      <t>les champs marqués d'un astérisque ( * ) sont obligatoires</t>
    </r>
  </si>
  <si>
    <t>Pour déposer le rapport final</t>
  </si>
  <si>
    <r>
      <t xml:space="preserve">compléter les étapes telles que mentionnées dans l'onglet </t>
    </r>
    <r>
      <rPr>
        <b/>
        <sz val="16"/>
        <color rgb="FF0070C0"/>
        <rFont val="Arial"/>
        <family val="2"/>
      </rPr>
      <t>Rapport final</t>
    </r>
    <r>
      <rPr>
        <b/>
        <sz val="16"/>
        <color theme="4" tint="-0.499984740745262"/>
        <rFont val="Arial"/>
        <family val="2"/>
      </rPr>
      <t xml:space="preserve"> </t>
    </r>
    <r>
      <rPr>
        <b/>
        <i/>
        <sz val="16"/>
        <color rgb="FFC00000"/>
        <rFont val="Arial"/>
        <family val="2"/>
      </rPr>
      <t>cliquer ici</t>
    </r>
  </si>
  <si>
    <t>Je déclare que les informations transmises 
sont exactes et véridiques.</t>
  </si>
  <si>
    <t>Veuillez noter que la SODEC pourra utiliser ce numéro à des fins d'authentification pour la signature électronique de documents.</t>
  </si>
  <si>
    <t>Cible</t>
  </si>
  <si>
    <t>Ventilation budgétaire</t>
  </si>
  <si>
    <t>Pourcentage alloué par ventilation budgétaire</t>
  </si>
  <si>
    <r>
      <t xml:space="preserve">Compléter la section Rapport final des statistiques - onglet Statistiques </t>
    </r>
    <r>
      <rPr>
        <b/>
        <i/>
        <sz val="13"/>
        <color rgb="FFC00000"/>
        <rFont val="Arial"/>
        <family val="2"/>
      </rPr>
      <t>cliquer ici</t>
    </r>
  </si>
  <si>
    <t>La hauteur des lignes dans le formulaire peut être ajustée au besoin</t>
  </si>
  <si>
    <t>Premier versement (70 %)</t>
  </si>
  <si>
    <t>Titre du représentant officiel</t>
  </si>
  <si>
    <t>Courriel du représentant officiel</t>
  </si>
  <si>
    <t>Nom de la personne-ressource</t>
  </si>
  <si>
    <t>Volet 2.2 - Soutien à la tournée de spectacles de musique et variétés à l'étranger</t>
  </si>
  <si>
    <t>* Nom de l'artiste</t>
  </si>
  <si>
    <t>Alberta - Canada</t>
  </si>
  <si>
    <t>Colombie-Britannique - Canada</t>
  </si>
  <si>
    <t>Île-du-Prince-Édouard - Canada</t>
  </si>
  <si>
    <t>Manitoba - Canada</t>
  </si>
  <si>
    <t>Nouveau-Brunswick - Canada</t>
  </si>
  <si>
    <t>Nouvelle-Écosse - Canada</t>
  </si>
  <si>
    <t>Nunavut - Canada</t>
  </si>
  <si>
    <t>Ontario - Canada</t>
  </si>
  <si>
    <t>Saskatchewan - Canada</t>
  </si>
  <si>
    <t>Terre-Neuve-et-Labrador - Canada</t>
  </si>
  <si>
    <t>Territoires-du-Nord-Ouest - Canada</t>
  </si>
  <si>
    <t>Yukon - Canada</t>
  </si>
  <si>
    <t>AFGHANISTAN</t>
  </si>
  <si>
    <t>AFRIQUE DU SUD</t>
  </si>
  <si>
    <t>ÅLAND, ÎLES</t>
  </si>
  <si>
    <t>ALBANIE</t>
  </si>
  <si>
    <t>ALGÉRIE</t>
  </si>
  <si>
    <t>ALLEMAGNE</t>
  </si>
  <si>
    <t>ANDORRE</t>
  </si>
  <si>
    <t>ANGOLA</t>
  </si>
  <si>
    <t>ANGUILLA</t>
  </si>
  <si>
    <t>ANTARCTIQUE</t>
  </si>
  <si>
    <t>ANTIGUA-ET-BARBUDA</t>
  </si>
  <si>
    <t>ANTILLES NÉERLANDAISES</t>
  </si>
  <si>
    <t>ARABIE SAOUDITE</t>
  </si>
  <si>
    <t>ARGENTINE</t>
  </si>
  <si>
    <t>ARMÉNIE</t>
  </si>
  <si>
    <t>ARUBA</t>
  </si>
  <si>
    <t>AUSTRALIE</t>
  </si>
  <si>
    <t>AUTRICHE</t>
  </si>
  <si>
    <t>AZERBAÏDJAN</t>
  </si>
  <si>
    <t>BAHAMAS</t>
  </si>
  <si>
    <t>BAHREÏN</t>
  </si>
  <si>
    <t>BANGLADESH</t>
  </si>
  <si>
    <t>BARBADE</t>
  </si>
  <si>
    <t>BÉLARUS</t>
  </si>
  <si>
    <t>BELGIQUE</t>
  </si>
  <si>
    <t>BELIZE</t>
  </si>
  <si>
    <t>BÉNIN</t>
  </si>
  <si>
    <t>BERMUDES</t>
  </si>
  <si>
    <t>BHOUTAN</t>
  </si>
  <si>
    <t>BOLIVIE</t>
  </si>
  <si>
    <t>BOSNIE-HERZÉGOVINE</t>
  </si>
  <si>
    <t>BOTSWANA</t>
  </si>
  <si>
    <t>BOUVET, ÎLE</t>
  </si>
  <si>
    <t>BRÉSIL</t>
  </si>
  <si>
    <t>BRUNÉI DARUSSALAM</t>
  </si>
  <si>
    <t>BULGARIE</t>
  </si>
  <si>
    <t>BURKINA FASO</t>
  </si>
  <si>
    <t>BURUNDI</t>
  </si>
  <si>
    <t>CAÏMANES, ÎLES</t>
  </si>
  <si>
    <t>CAMBODGE</t>
  </si>
  <si>
    <t>CAMEROUN</t>
  </si>
  <si>
    <t>CAP-VERT</t>
  </si>
  <si>
    <t>CENTRAFRICAINE, RÉPUBLIQUE</t>
  </si>
  <si>
    <t>CHILI</t>
  </si>
  <si>
    <t>CHINE</t>
  </si>
  <si>
    <t>CHRISTMAS, ÎLE</t>
  </si>
  <si>
    <t>CHYPRE</t>
  </si>
  <si>
    <t>COCOS (KEELING), ÎLES</t>
  </si>
  <si>
    <t>COLOMBIE</t>
  </si>
  <si>
    <t>COMORES</t>
  </si>
  <si>
    <t>CONGO</t>
  </si>
  <si>
    <t>CONGO, LA RÉPUBLIQUE DÉMOCRATIQUE DU</t>
  </si>
  <si>
    <t>COOK, ÎLES</t>
  </si>
  <si>
    <t>CORÉE, RÉPUBLIQUE DE</t>
  </si>
  <si>
    <t>CORÉE, RÉPUBLIQUE POPULAIRE DÉMOCRATIQUE DE</t>
  </si>
  <si>
    <t>COSTA RICA</t>
  </si>
  <si>
    <t>CÔTE D'IVOIRE</t>
  </si>
  <si>
    <t>CROATIE</t>
  </si>
  <si>
    <t>CUBA</t>
  </si>
  <si>
    <t>DANEMARK</t>
  </si>
  <si>
    <t>DJIBOUTI</t>
  </si>
  <si>
    <t>DOMINICAINE, RÉPUBLIQUE</t>
  </si>
  <si>
    <t>DOMINIQUE</t>
  </si>
  <si>
    <t>ÉGYPTE</t>
  </si>
  <si>
    <t>EL SALVADOR</t>
  </si>
  <si>
    <t>ÉMIRATS ARABES UNIS</t>
  </si>
  <si>
    <t>ÉQUATEUR</t>
  </si>
  <si>
    <t>ÉRYTHRÉE</t>
  </si>
  <si>
    <t>ESPAGNE</t>
  </si>
  <si>
    <t>ESTONIE</t>
  </si>
  <si>
    <t>ÉTATS-UNIS</t>
  </si>
  <si>
    <t>ÉTHIOPIE</t>
  </si>
  <si>
    <t>FALKLAND, ÎLES (MALVINAS)</t>
  </si>
  <si>
    <t>FÉROÉ, ÎLES</t>
  </si>
  <si>
    <t>FIDJI</t>
  </si>
  <si>
    <t>FINLANDE</t>
  </si>
  <si>
    <t>FRANCE</t>
  </si>
  <si>
    <t>GABON</t>
  </si>
  <si>
    <t>GAMBIE</t>
  </si>
  <si>
    <t>GÉORGIE</t>
  </si>
  <si>
    <t>GÉORGIE DU SUD ET LES ÎLES SANDWICH DU SUD</t>
  </si>
  <si>
    <t>GHANA</t>
  </si>
  <si>
    <t>GIBRALTAR</t>
  </si>
  <si>
    <t>GRÈCE</t>
  </si>
  <si>
    <t>GRENADE</t>
  </si>
  <si>
    <t>GROENLAND</t>
  </si>
  <si>
    <t>GUADELOUPE</t>
  </si>
  <si>
    <t>GUAM</t>
  </si>
  <si>
    <t>GUATEMALA</t>
  </si>
  <si>
    <t>GUERNESEY</t>
  </si>
  <si>
    <t>GUINÉE</t>
  </si>
  <si>
    <t>GUINÉE ÉQUATORIALE</t>
  </si>
  <si>
    <t>GUINÉE-BISSAU</t>
  </si>
  <si>
    <t>GUYANA</t>
  </si>
  <si>
    <t>GUYANE FRANÇAISE</t>
  </si>
  <si>
    <t>HAÏTI</t>
  </si>
  <si>
    <t>HEARD, ÎLE ET MCDONALD, ÎLES</t>
  </si>
  <si>
    <t>HONDURAS</t>
  </si>
  <si>
    <t>HONG-KONG</t>
  </si>
  <si>
    <t>HONGRIE</t>
  </si>
  <si>
    <t>ÎLE DE MAN</t>
  </si>
  <si>
    <t>ÎLES MINEURES ÉLOIGNÉES DES ÉTATS-UNIS</t>
  </si>
  <si>
    <t>ÎLES VIERGES BRITANNIQUES</t>
  </si>
  <si>
    <t>ÎLES VIERGES DES ÉTATS-UNIS</t>
  </si>
  <si>
    <t>INDE</t>
  </si>
  <si>
    <t>INDONÉSIE</t>
  </si>
  <si>
    <t>IRAN, RÉPUBLIQUE ISLAMIQUE D'</t>
  </si>
  <si>
    <t>IRAQ</t>
  </si>
  <si>
    <t>IRLANDE</t>
  </si>
  <si>
    <t>ISLANDE</t>
  </si>
  <si>
    <t>ISRAËL</t>
  </si>
  <si>
    <t>ITALIE</t>
  </si>
  <si>
    <t>JAMAÏQUE</t>
  </si>
  <si>
    <t>JAPON</t>
  </si>
  <si>
    <t>JERSEY</t>
  </si>
  <si>
    <t>JORDANIE</t>
  </si>
  <si>
    <t>KAZAKHSTAN</t>
  </si>
  <si>
    <t>KENYA</t>
  </si>
  <si>
    <t>KIRGHIZISTAN</t>
  </si>
  <si>
    <t>KIRIBATI</t>
  </si>
  <si>
    <t>KOWEÏT</t>
  </si>
  <si>
    <t>LAO, RÉPUBLIQUE DÉMOCRATIQUE POPULAIRE</t>
  </si>
  <si>
    <t>LESOTHO</t>
  </si>
  <si>
    <t>LETTONIE</t>
  </si>
  <si>
    <t>LIBAN</t>
  </si>
  <si>
    <t>LIBÉRIA</t>
  </si>
  <si>
    <t>LIBYENNE, JAMAHIRIYA ARABE</t>
  </si>
  <si>
    <t>LIECHTENSTEIN</t>
  </si>
  <si>
    <t>LITUANIE</t>
  </si>
  <si>
    <t>LUXEMBOURG</t>
  </si>
  <si>
    <t>MACAO</t>
  </si>
  <si>
    <t>MACÉDOINE, L'EX-RÉPUBLIQUE YOUGOSLAVE DE</t>
  </si>
  <si>
    <t>MADAGASCAR</t>
  </si>
  <si>
    <t>MALAISIE</t>
  </si>
  <si>
    <t>MALAWI</t>
  </si>
  <si>
    <t>MALDIVES</t>
  </si>
  <si>
    <t>MALI</t>
  </si>
  <si>
    <t>MALTE</t>
  </si>
  <si>
    <t>MARIANNES DU NORD, ÎLES</t>
  </si>
  <si>
    <t>MAROC</t>
  </si>
  <si>
    <t>MARSHALL, ÎLES</t>
  </si>
  <si>
    <t>MARTINIQUE</t>
  </si>
  <si>
    <t>MAURICE</t>
  </si>
  <si>
    <t>MAURITANIE</t>
  </si>
  <si>
    <t>MAYOTTE</t>
  </si>
  <si>
    <t>MEXIQUE</t>
  </si>
  <si>
    <t>MICRONÉSIE, ÉTATS FÉDÉRÉS DE</t>
  </si>
  <si>
    <t>MOLDOVA, RÉPUBLIQUE DE</t>
  </si>
  <si>
    <t>MONACO</t>
  </si>
  <si>
    <t>MONGOLIE</t>
  </si>
  <si>
    <t>MONTÉNÉGRO</t>
  </si>
  <si>
    <t>MONTSERRAT</t>
  </si>
  <si>
    <t>MOZAMBIQUE</t>
  </si>
  <si>
    <t>MYANMAR</t>
  </si>
  <si>
    <t>NAMIBIE</t>
  </si>
  <si>
    <t>NAURU</t>
  </si>
  <si>
    <t>NÉPAL</t>
  </si>
  <si>
    <t>NICARAGUA</t>
  </si>
  <si>
    <t>NIGER</t>
  </si>
  <si>
    <t>NIGÉRIA</t>
  </si>
  <si>
    <t>NIUÉ</t>
  </si>
  <si>
    <t>NORFOLK, ÎLE</t>
  </si>
  <si>
    <t>NORVÈGE</t>
  </si>
  <si>
    <t>NOUVELLE-CALÉDONIE</t>
  </si>
  <si>
    <t>NOUVELLE-ZÉLANDE</t>
  </si>
  <si>
    <t>OCÉAN INDIEN, TERRITOIRE BRITANNIQUE DE L'</t>
  </si>
  <si>
    <t>OMAN</t>
  </si>
  <si>
    <t>OUGANDA</t>
  </si>
  <si>
    <t>OUZBÉKISTAN</t>
  </si>
  <si>
    <t>PAKISTAN</t>
  </si>
  <si>
    <t>PALAOS</t>
  </si>
  <si>
    <t>PANAMA</t>
  </si>
  <si>
    <t>PAPOUASIE-NOUVELLE-GUINÉE</t>
  </si>
  <si>
    <t>PARAGUAY</t>
  </si>
  <si>
    <t>PAYS-BAS</t>
  </si>
  <si>
    <t>PÉROU</t>
  </si>
  <si>
    <t>PHILIPPINES</t>
  </si>
  <si>
    <t>PITCAIRN</t>
  </si>
  <si>
    <t>POLOGNE</t>
  </si>
  <si>
    <t>POLYNÉSIE FRANÇAISE</t>
  </si>
  <si>
    <t>PORTO RICO</t>
  </si>
  <si>
    <t>PORTUGAL</t>
  </si>
  <si>
    <t>QATAR</t>
  </si>
  <si>
    <t>RÉUNION</t>
  </si>
  <si>
    <t>ROUMANIE</t>
  </si>
  <si>
    <t>RUSSIE, FÉDÉRATION DE</t>
  </si>
  <si>
    <t>RWANDA</t>
  </si>
  <si>
    <t>SAHARA OCCIDENTAL</t>
  </si>
  <si>
    <t>SAINT-BARTHÉLEMY</t>
  </si>
  <si>
    <t>SAINTE-HÉLÈNE</t>
  </si>
  <si>
    <t>SAINTE-LUCIE</t>
  </si>
  <si>
    <t>SAINT-KITTS-ET-NEVIS</t>
  </si>
  <si>
    <t>SAINT-MARIN</t>
  </si>
  <si>
    <t>SAINT-MARTIN</t>
  </si>
  <si>
    <t>SAINT-PIERRE-ET-MIQUELON</t>
  </si>
  <si>
    <t>SAINT-SIÈGE (ÉTAT DE LA CITÉ DU VATICAN)</t>
  </si>
  <si>
    <t>SAINT-VINCENT-ET-LES GRENADINES</t>
  </si>
  <si>
    <t>SALOMON, ÎLES</t>
  </si>
  <si>
    <t>SAMOA</t>
  </si>
  <si>
    <t>SAMOA AMÉRICAINES</t>
  </si>
  <si>
    <t>SAO TOMÉ-ET-PRINCIPE</t>
  </si>
  <si>
    <t>SÉNÉGAL</t>
  </si>
  <si>
    <t>SERBIE</t>
  </si>
  <si>
    <t>SEYCHELLES</t>
  </si>
  <si>
    <t>SIERRA LEONE</t>
  </si>
  <si>
    <t>SINGAPOUR</t>
  </si>
  <si>
    <t>SLOVAQUIE</t>
  </si>
  <si>
    <t>SLOVÉNIE</t>
  </si>
  <si>
    <t>SOMALIE</t>
  </si>
  <si>
    <t>SOUDAN</t>
  </si>
  <si>
    <t>SRI LANKA</t>
  </si>
  <si>
    <t>SUÈDE</t>
  </si>
  <si>
    <t>SUISSE</t>
  </si>
  <si>
    <t>SURINAME</t>
  </si>
  <si>
    <t>SVALBARD ET ÎLE JAN MAYEN</t>
  </si>
  <si>
    <t>SWAZILAND</t>
  </si>
  <si>
    <t>SYRIENNE, RÉPUBLIQUE ARABE</t>
  </si>
  <si>
    <t>TADJIKISTAN</t>
  </si>
  <si>
    <t>TAÏWAN, PROVINCE DE CHINE</t>
  </si>
  <si>
    <t>TANZANIE, RÉPUBLIQUE-UNIE DE</t>
  </si>
  <si>
    <t>TCHAD</t>
  </si>
  <si>
    <t>TERRES AUSTRALES FRANÇAISES</t>
  </si>
  <si>
    <t>THAÏLANDE</t>
  </si>
  <si>
    <t>TIMOR-LESTE</t>
  </si>
  <si>
    <t>TOGO</t>
  </si>
  <si>
    <t>TOKELAU</t>
  </si>
  <si>
    <t>TONGA</t>
  </si>
  <si>
    <t>TRINITÉ-ET-TOBAGO</t>
  </si>
  <si>
    <t>TUNISIE</t>
  </si>
  <si>
    <t>TURKMÉNISTAN</t>
  </si>
  <si>
    <t>TURKS ET CAÏQUES, ÎLES</t>
  </si>
  <si>
    <t>TURQUIE</t>
  </si>
  <si>
    <t>TUVALU</t>
  </si>
  <si>
    <t>UKRAINE</t>
  </si>
  <si>
    <t>URUGUAY</t>
  </si>
  <si>
    <t>VANUATU</t>
  </si>
  <si>
    <t>VENEZUELA, RÉPUBLIQUE BOLIVARIENNE DU</t>
  </si>
  <si>
    <t>VIET NAM</t>
  </si>
  <si>
    <t>WALLIS ET FUTUNA</t>
  </si>
  <si>
    <t>YÉMEN</t>
  </si>
  <si>
    <t>ZAMBIE</t>
  </si>
  <si>
    <t>ZIMBABWE</t>
  </si>
  <si>
    <t>A - Régulier</t>
  </si>
  <si>
    <t>B - Festival</t>
  </si>
  <si>
    <t>C - Vitrine (showcase)</t>
  </si>
  <si>
    <t>Musicien (ne)</t>
  </si>
  <si>
    <t>Musicien (ne) et voix</t>
  </si>
  <si>
    <t>Directeur (trice) de tournée</t>
  </si>
  <si>
    <t>Éclairagiste</t>
  </si>
  <si>
    <t>Préposé(e) aux instruments</t>
  </si>
  <si>
    <t>Technicien (cienne) de son</t>
  </si>
  <si>
    <t>A - Amérique du Nord</t>
  </si>
  <si>
    <t>B - Europe</t>
  </si>
  <si>
    <t>Assurance pour bagages</t>
  </si>
  <si>
    <t>Assurance voyage/médical</t>
  </si>
  <si>
    <t>Bagages supplémentaires</t>
  </si>
  <si>
    <t>Catégorie</t>
  </si>
  <si>
    <t>Humour</t>
  </si>
  <si>
    <t>Musique traditionnelle</t>
  </si>
  <si>
    <t>Gérance</t>
  </si>
  <si>
    <t>Agence</t>
  </si>
  <si>
    <t>Production de spectacles</t>
  </si>
  <si>
    <t>Gérance et agence</t>
  </si>
  <si>
    <t>Gérance et production de spectacles</t>
  </si>
  <si>
    <t>Agence et production de spectacles</t>
  </si>
  <si>
    <t>Gérance, agence et production de spectacles</t>
  </si>
  <si>
    <t>Lien contractuel</t>
  </si>
  <si>
    <t>calcul nb mois écart</t>
  </si>
  <si>
    <t>* Type de contrat</t>
  </si>
  <si>
    <t>* Territoire</t>
  </si>
  <si>
    <t>Producteur de spectacles</t>
  </si>
  <si>
    <t>Agent-tourneur</t>
  </si>
  <si>
    <t>Distributeur numérique</t>
  </si>
  <si>
    <t xml:space="preserve">Label </t>
  </si>
  <si>
    <t>Territoire</t>
  </si>
  <si>
    <t>* Identifier le type de lien contractuel entre l'entreprise et l'artiste pour ce projet</t>
  </si>
  <si>
    <t>* Dans quelle mesure cette tournée s'inscrit-elle dans le développement de carrière de l'artiste?</t>
  </si>
  <si>
    <t>Type de spectacle</t>
  </si>
  <si>
    <t>Hébergement fourni pour cette nuitée</t>
  </si>
  <si>
    <t>Ne sont pas admissibles :</t>
  </si>
  <si>
    <t>ÉQUIPE DE TOURNÉE</t>
  </si>
  <si>
    <t>Équipe de tournée</t>
  </si>
  <si>
    <t>Calendrier de tournée</t>
  </si>
  <si>
    <t>Nom des participants</t>
  </si>
  <si>
    <t>Fonction</t>
  </si>
  <si>
    <t>Résident du Québec</t>
  </si>
  <si>
    <t>TOTAL</t>
  </si>
  <si>
    <t>AVION</t>
  </si>
  <si>
    <t>Information complémentaire</t>
  </si>
  <si>
    <t>* Chiffre d'affaires de l'entreprise</t>
  </si>
  <si>
    <t>* Chiffre d'affaires relié à l'exportation hors Québec</t>
  </si>
  <si>
    <t>* Résumer les initiatives de promotion, presse, publicité et autres pour cette tournée</t>
  </si>
  <si>
    <t>SECTION C : STATISTIQUES</t>
  </si>
  <si>
    <t>STATISTIQUES</t>
  </si>
  <si>
    <t>SECTION D : CALENDRIER DE TOURNÉE</t>
  </si>
  <si>
    <t>SECTION E : ÉQUIPE DE TOURNÉE</t>
  </si>
  <si>
    <r>
      <t xml:space="preserve">Objectifs </t>
    </r>
    <r>
      <rPr>
        <i/>
        <sz val="10"/>
        <color theme="4" tint="-0.499984740745262"/>
        <rFont val="Arial"/>
        <family val="2"/>
      </rPr>
      <t>(tels que décrits dans la demande)</t>
    </r>
  </si>
  <si>
    <r>
      <t xml:space="preserve">Allocation journalière 
</t>
    </r>
    <r>
      <rPr>
        <i/>
        <sz val="10"/>
        <rFont val="Arial"/>
        <family val="2"/>
      </rPr>
      <t>(sous-total des frais de séjour)</t>
    </r>
  </si>
  <si>
    <r>
      <t xml:space="preserve">Transport aérien </t>
    </r>
    <r>
      <rPr>
        <i/>
        <sz val="10"/>
        <rFont val="Arial"/>
        <family val="2"/>
      </rPr>
      <t>(40 % du coût de transport et contribution maximale/région)</t>
    </r>
  </si>
  <si>
    <r>
      <t xml:space="preserve">Transport de l'équipe de tournée 
</t>
    </r>
    <r>
      <rPr>
        <i/>
        <sz val="10"/>
        <rFont val="Arial"/>
        <family val="2"/>
      </rPr>
      <t>(40 % du coût du transport local en tournée)</t>
    </r>
  </si>
  <si>
    <t>Total Autres dépenses</t>
  </si>
  <si>
    <t>* Quels sont les objectifs stratégiques spécifiques 
à cette tournée?</t>
  </si>
  <si>
    <t>veille du 1er jour de spectacle</t>
  </si>
  <si>
    <t>jour du spectacle</t>
  </si>
  <si>
    <t>lendemain</t>
  </si>
  <si>
    <t>lendemain fin de tournée</t>
  </si>
  <si>
    <t>Sous-total</t>
  </si>
  <si>
    <t>Ne pas supprimer Masquer colonne</t>
  </si>
  <si>
    <t>Ne pas supprimer Masquer colonnes</t>
  </si>
  <si>
    <t>Montant admissible</t>
  </si>
  <si>
    <r>
      <rPr>
        <b/>
        <sz val="12"/>
        <color theme="4" tint="-0.499984740745262"/>
        <rFont val="Arial"/>
        <family val="2"/>
      </rPr>
      <t>FACTOR</t>
    </r>
    <r>
      <rPr>
        <b/>
        <sz val="11"/>
        <color rgb="FF0070C0"/>
        <rFont val="Arial"/>
        <family val="2"/>
      </rPr>
      <t xml:space="preserve"> : Recevez-vous une aide globale de type </t>
    </r>
    <r>
      <rPr>
        <b/>
        <i/>
        <sz val="11"/>
        <color rgb="FF0070C0"/>
        <rFont val="Arial"/>
        <family val="2"/>
      </rPr>
      <t>Envelop Funding for Music Companies</t>
    </r>
    <r>
      <rPr>
        <b/>
        <sz val="11"/>
        <color rgb="FF0070C0"/>
        <rFont val="Arial"/>
        <family val="2"/>
      </rPr>
      <t xml:space="preserve">? </t>
    </r>
    <r>
      <rPr>
        <i/>
        <sz val="10"/>
        <rFont val="Arial"/>
        <family val="2"/>
      </rPr>
      <t>(oui / non)</t>
    </r>
  </si>
  <si>
    <r>
      <rPr>
        <b/>
        <sz val="12"/>
        <color theme="4" tint="-0.499984740745262"/>
        <rFont val="Arial"/>
        <family val="2"/>
      </rPr>
      <t>MUSICACTION</t>
    </r>
    <r>
      <rPr>
        <b/>
        <sz val="11"/>
        <color rgb="FF0070C0"/>
        <rFont val="Arial"/>
        <family val="2"/>
      </rPr>
      <t xml:space="preserve"> : Recevez-vous une aide globale de type </t>
    </r>
    <r>
      <rPr>
        <b/>
        <i/>
        <sz val="11"/>
        <color rgb="FF0070C0"/>
        <rFont val="Arial"/>
        <family val="2"/>
      </rPr>
      <t>Enveloppe de financement global annuel</t>
    </r>
    <r>
      <rPr>
        <b/>
        <sz val="11"/>
        <color rgb="FF0070C0"/>
        <rFont val="Arial"/>
        <family val="2"/>
      </rPr>
      <t>?</t>
    </r>
    <r>
      <rPr>
        <i/>
        <sz val="10"/>
        <rFont val="Arial"/>
        <family val="2"/>
      </rPr>
      <t xml:space="preserve"> (oui / non)</t>
    </r>
  </si>
  <si>
    <t>En quoi cette tournée a-t-elle contribué au développement de la carrière de l'artiste?</t>
  </si>
  <si>
    <t>montant référence selon territoire</t>
  </si>
  <si>
    <t>Admissibilité de la tournée</t>
  </si>
  <si>
    <t>Présence de risque financier suffisant pour justifier un soutien?</t>
  </si>
  <si>
    <t>Présence de risque financier</t>
  </si>
  <si>
    <t>cachet minimum</t>
  </si>
  <si>
    <t>cachet maximum</t>
  </si>
  <si>
    <t>La tournée comprend un calendrier minimal de cinq dates hors Québec sur un territoire donné et sur une période de temps continue</t>
  </si>
  <si>
    <t>La tournée comprend deux lieux de diffusion différents</t>
  </si>
  <si>
    <t>L'entreprise est liée contractuellement avec l'artiste ou le groupe pour la réalisation du projet de tournée (contrat de production de spectacles, d'agence de spectacle, de gérance)</t>
  </si>
  <si>
    <t>L'artiste ou groupe a déjà reçu de l'aide financière au volet Aide à la tournée de spectacles de variétés hors Québec au cours de la présente année financière</t>
  </si>
  <si>
    <t>À l'étude</t>
  </si>
  <si>
    <t>Solde de l'aide maximale pour l'année</t>
  </si>
  <si>
    <t>FACTOR Aide ponctuelle pour ce projet</t>
  </si>
  <si>
    <t>MUSICACTION Aide ponctuelle pour ce projet</t>
  </si>
  <si>
    <r>
      <t>MUSICACTION</t>
    </r>
    <r>
      <rPr>
        <b/>
        <i/>
        <sz val="10"/>
        <color rgb="FF0070C0"/>
        <rFont val="Arial"/>
        <family val="2"/>
      </rPr>
      <t xml:space="preserve"> Enveloppe de financement global </t>
    </r>
    <r>
      <rPr>
        <b/>
        <i/>
        <sz val="10"/>
        <rFont val="Arial"/>
        <family val="2"/>
      </rPr>
      <t>(montant alloué au projet)</t>
    </r>
  </si>
  <si>
    <t>Ministère de la Culture et des Communications (MCC)</t>
  </si>
  <si>
    <t>Offices jeunesse internationaux du Québec (LOJIQ)</t>
  </si>
  <si>
    <t>Fondation SOCAN</t>
  </si>
  <si>
    <t>Fonds Radiostar</t>
  </si>
  <si>
    <t>Provincial</t>
  </si>
  <si>
    <t>Fédéral</t>
  </si>
  <si>
    <t>Revenus divers</t>
  </si>
  <si>
    <t>Billetterie</t>
  </si>
  <si>
    <t>Commandites</t>
  </si>
  <si>
    <t>Ventes de produits dérivés</t>
  </si>
  <si>
    <t>Total des dépenses</t>
  </si>
  <si>
    <t>Profit (déficit)</t>
  </si>
  <si>
    <t>Montant</t>
  </si>
  <si>
    <t>Montant max 25000</t>
  </si>
  <si>
    <t>cellule correspondante fichier actuel</t>
  </si>
  <si>
    <t>A413</t>
  </si>
  <si>
    <t>A412</t>
  </si>
  <si>
    <t>A411</t>
  </si>
  <si>
    <t>Montant admissible pour cette demande</t>
  </si>
  <si>
    <t>Subventions</t>
  </si>
  <si>
    <t>1re partie</t>
  </si>
  <si>
    <t>Si 2 représentations même date</t>
  </si>
  <si>
    <t>- Spectacles corporatifs</t>
  </si>
  <si>
    <t>- Spectacles dans un cadre scolaire</t>
  </si>
  <si>
    <t>- Spectacles en résidence</t>
  </si>
  <si>
    <t>Nombre de dates de spectacle</t>
  </si>
  <si>
    <t>* Identifier les entreprises partenaires et territoires pour l'artiste</t>
  </si>
  <si>
    <t>Entreprise</t>
  </si>
  <si>
    <t>Objectif 1</t>
  </si>
  <si>
    <t>Objectif 2</t>
  </si>
  <si>
    <t>Objectif 3</t>
  </si>
  <si>
    <t>Objectif 4</t>
  </si>
  <si>
    <t>Objectif 5</t>
  </si>
  <si>
    <t>- Spectacles sans cachet et sans revenu de billetterie, à l'exception des spectacles-vitrines</t>
  </si>
  <si>
    <t>No Participation</t>
  </si>
  <si>
    <t>La tournée est-elle constituée majoritairement de premières parties?</t>
  </si>
  <si>
    <t>RÉSERVÉ À LA SODEC</t>
  </si>
  <si>
    <t>Année fiscale</t>
  </si>
  <si>
    <t>Artiste</t>
  </si>
  <si>
    <t>Langue</t>
  </si>
  <si>
    <t>Français</t>
  </si>
  <si>
    <t>Anglais</t>
  </si>
  <si>
    <t>Multilingues</t>
  </si>
  <si>
    <t>Autres</t>
  </si>
  <si>
    <t>Le délai répond-il aux critères du volet?</t>
  </si>
  <si>
    <t>Oui</t>
  </si>
  <si>
    <t>Non</t>
  </si>
  <si>
    <t>Nom de la salle ou du festival</t>
  </si>
  <si>
    <t>Total général</t>
  </si>
  <si>
    <t>Nombre total de dates</t>
  </si>
  <si>
    <t>total nb jours tournée admissibles</t>
  </si>
  <si>
    <t>Total Revenus</t>
  </si>
  <si>
    <t>Année de l'activité</t>
  </si>
  <si>
    <t>Activité ayant généré le projet</t>
  </si>
  <si>
    <t>Ventes produits dérivés</t>
  </si>
  <si>
    <t>CALENDRIER DE TOURNÉE - DÉPÔT DE LA DEMANDE</t>
  </si>
  <si>
    <t>Montant par nuitée jour spectacle</t>
  </si>
  <si>
    <t>Nombre nuitée à 80$</t>
  </si>
  <si>
    <t>Nombre nuitée à 140$</t>
  </si>
  <si>
    <t>TOTAL NUITÉES</t>
  </si>
  <si>
    <t>TOTAL NUITÉES TOURNÉE</t>
  </si>
  <si>
    <t>nbr nuitée à 80 $</t>
  </si>
  <si>
    <t>nbr nuitée à 140 $</t>
  </si>
  <si>
    <t>nb total de jours de tournée</t>
  </si>
  <si>
    <t>correction 30 jrs</t>
  </si>
  <si>
    <t>ÉQUIPE DE TOURNÉE - DÉPÔT DE LA DEMANDE</t>
  </si>
  <si>
    <t>Montant total nuitées à 80$</t>
  </si>
  <si>
    <t>Montant total nuitées à 140$</t>
  </si>
  <si>
    <t>CALENDRIER DE TOURNÉE - DÉPÔT DU RAPPORT FINAL</t>
  </si>
  <si>
    <t>Assistance</t>
  </si>
  <si>
    <t>ÉQUIPE DE TOURNÉE - DÉPÔT DU RAPPORT FINAL</t>
  </si>
  <si>
    <t>Confirmé</t>
  </si>
  <si>
    <t>Pressenti</t>
  </si>
  <si>
    <t>C - Autres régions</t>
  </si>
  <si>
    <t>* Le projet est-il une retombée d'une activité antérieure soutenue par la SODEC?</t>
  </si>
  <si>
    <t>Décrivez en quelques mots</t>
  </si>
  <si>
    <t>total montant admissible</t>
  </si>
  <si>
    <t>plafonnement à 25000 en fonction de cellule AY384</t>
  </si>
  <si>
    <r>
      <t>Délégué</t>
    </r>
    <r>
      <rPr>
        <sz val="12"/>
        <color theme="4" tint="-0.499984740745262"/>
        <rFont val="Calibri"/>
        <family val="2"/>
      </rPr>
      <t>·</t>
    </r>
    <r>
      <rPr>
        <sz val="12"/>
        <color theme="4" tint="-0.499984740745262"/>
        <rFont val="Arial"/>
        <family val="2"/>
      </rPr>
      <t>e Affaires internationales</t>
    </r>
  </si>
  <si>
    <t>(vide)</t>
  </si>
  <si>
    <r>
      <t xml:space="preserve">Compléter les statistiques globales et par territoires dans l'onglet </t>
    </r>
    <r>
      <rPr>
        <b/>
        <sz val="14"/>
        <color theme="4" tint="-0.499984740745262"/>
        <rFont val="Arial"/>
        <family val="2"/>
      </rPr>
      <t>Statistiques</t>
    </r>
    <r>
      <rPr>
        <b/>
        <sz val="14"/>
        <color theme="10"/>
        <rFont val="Arial"/>
        <family val="2"/>
      </rPr>
      <t xml:space="preserve"> </t>
    </r>
    <r>
      <rPr>
        <b/>
        <i/>
        <sz val="14"/>
        <color rgb="FFC00000"/>
        <rFont val="Arial"/>
        <family val="2"/>
      </rPr>
      <t>cliquer ici</t>
    </r>
  </si>
  <si>
    <t>Pour mettre à jour le tableau ci-dessous, 
positionner votre souris sur une cellule du tableau, cliquer droit et Actualiser</t>
  </si>
  <si>
    <t>Conseil des arts du Canada (CAC)</t>
  </si>
  <si>
    <t>Dans quelle mesure les objectifs stratégiques de la tournée ont-ils été atteints?</t>
  </si>
  <si>
    <t>Le spectacle appartient-il aux genres jazz, classique ou musique traditionnelle ?</t>
  </si>
  <si>
    <t>Liste_Pays_Province</t>
  </si>
  <si>
    <t>AY384</t>
  </si>
  <si>
    <r>
      <t xml:space="preserve">Compléter le calendrier de tournée dans l'onglet </t>
    </r>
    <r>
      <rPr>
        <b/>
        <sz val="14"/>
        <color theme="4" tint="-0.499984740745262"/>
        <rFont val="Arial"/>
        <family val="2"/>
      </rPr>
      <t>DEMANDE_Calendrier_Tournée</t>
    </r>
    <r>
      <rPr>
        <b/>
        <sz val="14"/>
        <color theme="10"/>
        <rFont val="Arial"/>
        <family val="2"/>
      </rPr>
      <t xml:space="preserve"> </t>
    </r>
    <r>
      <rPr>
        <b/>
        <i/>
        <sz val="14"/>
        <color rgb="FFC00000"/>
        <rFont val="Arial"/>
        <family val="2"/>
      </rPr>
      <t>cliquer ici</t>
    </r>
  </si>
  <si>
    <r>
      <t xml:space="preserve">FACTOR </t>
    </r>
    <r>
      <rPr>
        <b/>
        <i/>
        <sz val="10"/>
        <color rgb="FF0070C0"/>
        <rFont val="Arial"/>
        <family val="2"/>
      </rPr>
      <t xml:space="preserve">Envelop Funding for Music Companies </t>
    </r>
    <r>
      <rPr>
        <b/>
        <i/>
        <sz val="10"/>
        <rFont val="Arial"/>
        <family val="2"/>
      </rPr>
      <t>(montant alloué au projet)</t>
    </r>
  </si>
  <si>
    <r>
      <t>* Année financière du chiffre d'affaires</t>
    </r>
    <r>
      <rPr>
        <sz val="12"/>
        <color rgb="FF0070C0"/>
        <rFont val="Arial"/>
        <family val="2"/>
      </rPr>
      <t xml:space="preserve"> </t>
    </r>
    <r>
      <rPr>
        <i/>
        <sz val="10"/>
        <rFont val="Arial"/>
        <family val="2"/>
      </rPr>
      <t>(aaaa-mm-jj)</t>
    </r>
  </si>
  <si>
    <r>
      <t xml:space="preserve">* Date d'échéance du contrat </t>
    </r>
    <r>
      <rPr>
        <i/>
        <sz val="10"/>
        <rFont val="Arial"/>
        <family val="2"/>
      </rPr>
      <t>(aaaa-mm-jj)</t>
    </r>
  </si>
  <si>
    <t>A355</t>
  </si>
  <si>
    <t>A354</t>
  </si>
  <si>
    <t>A353</t>
  </si>
  <si>
    <t>AY326</t>
  </si>
  <si>
    <t>Villes</t>
  </si>
  <si>
    <t>Pays</t>
  </si>
  <si>
    <r>
      <t xml:space="preserve">Vérifier et au besoin, ajuster les informations - onglet RAPPORT_FINAL_Calendrier </t>
    </r>
    <r>
      <rPr>
        <b/>
        <i/>
        <sz val="13"/>
        <color rgb="FFC00000"/>
        <rFont val="Arial"/>
        <family val="2"/>
      </rPr>
      <t>cliquer ici</t>
    </r>
  </si>
  <si>
    <t>Instrumental</t>
  </si>
  <si>
    <r>
      <t xml:space="preserve">* Langue </t>
    </r>
    <r>
      <rPr>
        <i/>
        <sz val="10"/>
        <rFont val="Arial"/>
        <family val="2"/>
      </rPr>
      <t>(à des fins statistiques uniquement)</t>
    </r>
  </si>
  <si>
    <t>* Catégorie 1</t>
  </si>
  <si>
    <r>
      <t xml:space="preserve">* Clause de renouvellement automatique </t>
    </r>
    <r>
      <rPr>
        <i/>
        <sz val="10"/>
        <rFont val="Arial"/>
        <family val="2"/>
      </rPr>
      <t>(oui / non)</t>
    </r>
  </si>
  <si>
    <t>Blues</t>
  </si>
  <si>
    <t>Classique</t>
  </si>
  <si>
    <t>Conte</t>
  </si>
  <si>
    <t>Country</t>
  </si>
  <si>
    <t>Expérimental</t>
  </si>
  <si>
    <t>Folk</t>
  </si>
  <si>
    <t>Funk</t>
  </si>
  <si>
    <t>Hip-hop</t>
  </si>
  <si>
    <t>Indé</t>
  </si>
  <si>
    <t>Jazz</t>
  </si>
  <si>
    <t>Métal</t>
  </si>
  <si>
    <t>Musiques autochtones</t>
  </si>
  <si>
    <t>Musiques électroniques</t>
  </si>
  <si>
    <t>Musiques internationales</t>
  </si>
  <si>
    <t>Pop</t>
  </si>
  <si>
    <t>Punk</t>
  </si>
  <si>
    <t>R&amp;B</t>
  </si>
  <si>
    <t>Rap</t>
  </si>
  <si>
    <t>Rock</t>
  </si>
  <si>
    <t xml:space="preserve">  Catégorie 2</t>
  </si>
  <si>
    <t>Montant appliqué par ventilation budgétaire</t>
  </si>
  <si>
    <t>Si date retirée</t>
  </si>
  <si>
    <t>AJOUT - DATES DE SPECTACLES NON PRÉVUES AU DÉPÔT DE LA DEMANDE</t>
  </si>
  <si>
    <t>Étape 7.</t>
  </si>
  <si>
    <r>
      <t xml:space="preserve">Ajouter au besoin les dates hors calendrier original - onglet RAPPORT_FINAL_Calendrier </t>
    </r>
    <r>
      <rPr>
        <b/>
        <i/>
        <sz val="13"/>
        <color rgb="FFC00000"/>
        <rFont val="Arial"/>
        <family val="2"/>
      </rPr>
      <t>cliquer ici</t>
    </r>
  </si>
  <si>
    <r>
      <t xml:space="preserve">Toute aide gouvernementale obtenue ou à obtenir en vertu de programmes publics (municipaux, régionaux, provinciaux, nationaux et internationaux) 
et toute aide privée, sous quelque forme que ce soit (investissement, subvention, commandite, crédit d’impôt, etc.) </t>
    </r>
    <r>
      <rPr>
        <b/>
        <i/>
        <sz val="13"/>
        <color rgb="FFC00000"/>
        <rFont val="Arial"/>
        <family val="2"/>
      </rPr>
      <t>doit être inscrite ci-dessous</t>
    </r>
    <r>
      <rPr>
        <b/>
        <i/>
        <sz val="13"/>
        <color theme="4" tint="-0.499984740745262"/>
        <rFont val="Arial"/>
        <family val="2"/>
      </rPr>
      <t>.</t>
    </r>
  </si>
  <si>
    <r>
      <t xml:space="preserve">* Date du </t>
    </r>
    <r>
      <rPr>
        <b/>
        <sz val="12"/>
        <color theme="4" tint="-0.499984740745262"/>
        <rFont val="Arial"/>
        <family val="2"/>
      </rPr>
      <t>dernier</t>
    </r>
    <r>
      <rPr>
        <b/>
        <sz val="12"/>
        <color rgb="FF0070C0"/>
        <rFont val="Arial"/>
        <family val="2"/>
      </rPr>
      <t xml:space="preserve"> spectacle </t>
    </r>
    <r>
      <rPr>
        <i/>
        <sz val="10"/>
        <rFont val="Arial"/>
        <family val="2"/>
      </rPr>
      <t>(aaaa-mm-jj)</t>
    </r>
  </si>
  <si>
    <r>
      <t xml:space="preserve">* Date du </t>
    </r>
    <r>
      <rPr>
        <b/>
        <sz val="12"/>
        <color theme="4" tint="-0.499984740745262"/>
        <rFont val="Arial"/>
        <family val="2"/>
      </rPr>
      <t>premier</t>
    </r>
    <r>
      <rPr>
        <b/>
        <sz val="12"/>
        <color rgb="FF0070C0"/>
        <rFont val="Arial"/>
        <family val="2"/>
      </rPr>
      <t xml:space="preserve"> spectacle </t>
    </r>
    <r>
      <rPr>
        <i/>
        <sz val="10"/>
        <rFont val="Arial"/>
        <family val="2"/>
      </rPr>
      <t>(aaaa-mm-jj)</t>
    </r>
  </si>
  <si>
    <t>* Territoires de la tournée</t>
  </si>
  <si>
    <t>Autochtones</t>
  </si>
  <si>
    <r>
      <t xml:space="preserve">SODEC </t>
    </r>
    <r>
      <rPr>
        <b/>
        <i/>
        <sz val="10"/>
        <color rgb="FF0070C0"/>
        <rFont val="Arial"/>
        <family val="2"/>
      </rPr>
      <t>(montant admissible)</t>
    </r>
  </si>
  <si>
    <t>Capacité 
de la salle</t>
  </si>
  <si>
    <t>Vol intérieur (excluant coût bagages)</t>
  </si>
  <si>
    <t>1. Entrer toutes les dates de tournée l'une à la suite de l'autre, à partir de la ligne 1, sans laisser de ligne vide entre chacune d'elles.</t>
  </si>
  <si>
    <t>&gt;</t>
  </si>
  <si>
    <t>Permis de travail</t>
  </si>
  <si>
    <t>Location d'équipement (backline)</t>
  </si>
  <si>
    <t>Location d'instruments</t>
  </si>
  <si>
    <t>TRANSPORT LOCAL HORS QUÉBEC 
DÉPÔT DE LA DEMANDE</t>
  </si>
  <si>
    <r>
      <t xml:space="preserve">Les frais de déplacement proviennent des onglets </t>
    </r>
    <r>
      <rPr>
        <b/>
        <sz val="14"/>
        <color theme="4" tint="-0.499984740745262"/>
        <rFont val="Arial"/>
        <family val="2"/>
      </rPr>
      <t xml:space="preserve">DEMANDE_Équipe_Tournée </t>
    </r>
    <r>
      <rPr>
        <b/>
        <sz val="14"/>
        <color rgb="FF0070C0"/>
        <rFont val="Arial"/>
        <family val="2"/>
      </rPr>
      <t>et</t>
    </r>
    <r>
      <rPr>
        <b/>
        <sz val="14"/>
        <color theme="4" tint="-0.499984740745262"/>
        <rFont val="Arial"/>
        <family val="2"/>
      </rPr>
      <t xml:space="preserve"> DEMANDE_Transport</t>
    </r>
  </si>
  <si>
    <t>Programme SODEXPORT - Aide à l'exportation et au rayonnement culturel 
Musique et spectacle</t>
  </si>
  <si>
    <t>Transport local et Transport matériel</t>
  </si>
  <si>
    <t>nb musiciens/voix</t>
  </si>
  <si>
    <t>nb technicien/dir tournée</t>
  </si>
  <si>
    <t>TRANSPORT LOCAL HORS QUÉBEC 
DÉPÔT DU RAPPORT FINAL</t>
  </si>
  <si>
    <t>Notes</t>
  </si>
  <si>
    <t>DEMANDE</t>
  </si>
  <si>
    <t>Notes explicatives 
de l'écart</t>
  </si>
  <si>
    <t>Montant prévisionnel</t>
  </si>
  <si>
    <t>Montant 
réel déboursé</t>
  </si>
  <si>
    <t>RAPPORT FINAL
Montant réel</t>
  </si>
  <si>
    <r>
      <t xml:space="preserve">Chiffres d'audience sur les réseaux sociaux 
</t>
    </r>
    <r>
      <rPr>
        <i/>
        <sz val="10"/>
        <rFont val="Arial"/>
        <family val="2"/>
      </rPr>
      <t>(toutes plateformes)</t>
    </r>
  </si>
  <si>
    <r>
      <t xml:space="preserve">Nombre de streams </t>
    </r>
    <r>
      <rPr>
        <i/>
        <sz val="10"/>
        <rFont val="Arial"/>
        <family val="2"/>
      </rPr>
      <t>(total)</t>
    </r>
  </si>
  <si>
    <r>
      <t xml:space="preserve">Vérifier et au besoin, ajuster les informations - onglet RAPPORT_FINAL_Équipe_Tournée </t>
    </r>
    <r>
      <rPr>
        <b/>
        <i/>
        <sz val="13"/>
        <color rgb="FFC00000"/>
        <rFont val="Arial"/>
        <family val="2"/>
      </rPr>
      <t>cliquer ici</t>
    </r>
  </si>
  <si>
    <r>
      <t xml:space="preserve">Vérifier et au besoin, ajuster les informations - onglet RAPPORT_FINAL_Tranport </t>
    </r>
    <r>
      <rPr>
        <b/>
        <i/>
        <sz val="13"/>
        <color rgb="FFC00000"/>
        <rFont val="Arial"/>
        <family val="2"/>
      </rPr>
      <t>cliquer ici</t>
    </r>
  </si>
  <si>
    <t>Les valeurs des champs déjà peuplés sont basées sur les informations de la demande.  
Si elles ne sont pas exactes, veuillez les remplacer par les valeurs actuelles.</t>
  </si>
  <si>
    <r>
      <t xml:space="preserve">Coût du transport
</t>
    </r>
    <r>
      <rPr>
        <i/>
        <sz val="10"/>
        <color theme="0"/>
        <rFont val="Arial"/>
        <family val="2"/>
      </rPr>
      <t>(prévisionnel)</t>
    </r>
  </si>
  <si>
    <t>Résident 
du 
Québec</t>
  </si>
  <si>
    <r>
      <t xml:space="preserve">Coût du billet
</t>
    </r>
    <r>
      <rPr>
        <i/>
        <sz val="11"/>
        <color theme="0"/>
        <rFont val="Arial"/>
        <family val="2"/>
      </rPr>
      <t>(prévisionnel)</t>
    </r>
  </si>
  <si>
    <r>
      <t xml:space="preserve">Date 
</t>
    </r>
    <r>
      <rPr>
        <i/>
        <sz val="10"/>
        <color theme="0"/>
        <rFont val="Arial"/>
        <family val="2"/>
      </rPr>
      <t xml:space="preserve">(indiquer </t>
    </r>
    <r>
      <rPr>
        <b/>
        <i/>
        <u/>
        <sz val="10"/>
        <color theme="0"/>
        <rFont val="Arial"/>
        <family val="2"/>
      </rPr>
      <t>seulement</t>
    </r>
    <r>
      <rPr>
        <i/>
        <sz val="10"/>
        <color theme="0"/>
        <rFont val="Arial"/>
        <family val="2"/>
      </rPr>
      <t xml:space="preserve"> 
les dates de présentation)
</t>
    </r>
    <r>
      <rPr>
        <i/>
        <sz val="9"/>
        <color theme="0"/>
        <rFont val="Arial"/>
        <family val="2"/>
      </rPr>
      <t xml:space="preserve">
</t>
    </r>
    <r>
      <rPr>
        <b/>
        <i/>
        <sz val="9"/>
        <color theme="0"/>
        <rFont val="Arial"/>
        <family val="2"/>
      </rPr>
      <t>aaaa-mm-jj</t>
    </r>
  </si>
  <si>
    <t>Nom de la salle 
ou du festival</t>
  </si>
  <si>
    <t>Pays 
ou 
province si Canada</t>
  </si>
  <si>
    <t>TRANSPORT ET LOCATION MATÉRIEL-ASSURANCE
DÉPÔT DU RAPPORT FINAL</t>
  </si>
  <si>
    <t>TRANSPORT ET LOCATION MATÉRIEL-ASSURANCE
DÉPÔT DE LA DEMANDE</t>
  </si>
  <si>
    <r>
      <t xml:space="preserve">Coût de l'essence ($CAD)
</t>
    </r>
    <r>
      <rPr>
        <i/>
        <sz val="10"/>
        <color theme="0"/>
        <rFont val="Arial"/>
        <family val="2"/>
      </rPr>
      <t>(réel)</t>
    </r>
  </si>
  <si>
    <r>
      <t xml:space="preserve">Coût du transport
</t>
    </r>
    <r>
      <rPr>
        <i/>
        <sz val="10"/>
        <color theme="0"/>
        <rFont val="Arial"/>
        <family val="2"/>
      </rPr>
      <t>(réel)</t>
    </r>
  </si>
  <si>
    <r>
      <t xml:space="preserve">Type de transport 
Dépense </t>
    </r>
    <r>
      <rPr>
        <b/>
        <u/>
        <sz val="10"/>
        <color theme="0"/>
        <rFont val="Arial"/>
        <family val="2"/>
      </rPr>
      <t>hors Québec</t>
    </r>
    <r>
      <rPr>
        <b/>
        <sz val="10"/>
        <color theme="0"/>
        <rFont val="Arial"/>
        <family val="2"/>
      </rPr>
      <t xml:space="preserve"> seulement</t>
    </r>
  </si>
  <si>
    <t>2. Entrer les données pertinentes globales pour le monde ainsi que pour chaque territoire concerné par cette demande</t>
  </si>
  <si>
    <r>
      <t xml:space="preserve">Inscrire les coûts prévus pour chacune des catégories de frais, lorsqu'applicables, dans la colonne </t>
    </r>
    <r>
      <rPr>
        <b/>
        <sz val="14"/>
        <color theme="4" tint="-0.499984740745262"/>
        <rFont val="Arial"/>
        <family val="2"/>
      </rPr>
      <t>Montant prévisionnel</t>
    </r>
  </si>
  <si>
    <t>1. Mettre à jour les informations de l'équipe de tournée. Si un ou des participants n'ont pas été présents pour toute la durée de la tournée, 
    veuillez les retirer de la liste ci-dessous ou modifier le nombre de jours admissibles pour ceux-ci.</t>
  </si>
  <si>
    <t>Cachets artistes</t>
  </si>
  <si>
    <r>
      <t xml:space="preserve">Cachets artistes </t>
    </r>
    <r>
      <rPr>
        <b/>
        <i/>
        <sz val="10"/>
        <color rgb="FF0070C0"/>
        <rFont val="Arial"/>
        <family val="2"/>
      </rPr>
      <t>(référence montant du calendrier)</t>
    </r>
  </si>
  <si>
    <r>
      <t xml:space="preserve">Coût du billet déboursé
</t>
    </r>
    <r>
      <rPr>
        <i/>
        <sz val="11"/>
        <color theme="0"/>
        <rFont val="Arial"/>
        <family val="2"/>
      </rPr>
      <t>(réel)</t>
    </r>
  </si>
  <si>
    <r>
      <t xml:space="preserve">Montant admissible </t>
    </r>
    <r>
      <rPr>
        <b/>
        <vertAlign val="superscript"/>
        <sz val="11"/>
        <color theme="0"/>
        <rFont val="Arial"/>
        <family val="2"/>
      </rPr>
      <t>1</t>
    </r>
  </si>
  <si>
    <r>
      <t xml:space="preserve">Nbre de jours admissibles 140 $ </t>
    </r>
    <r>
      <rPr>
        <b/>
        <vertAlign val="superscript"/>
        <sz val="11"/>
        <color theme="0"/>
        <rFont val="Arial"/>
        <family val="2"/>
      </rPr>
      <t>3</t>
    </r>
  </si>
  <si>
    <r>
      <t xml:space="preserve">Nbre de jours admissibles 
80 $ </t>
    </r>
    <r>
      <rPr>
        <b/>
        <vertAlign val="superscript"/>
        <sz val="11"/>
        <color theme="0"/>
        <rFont val="Arial"/>
        <family val="2"/>
      </rPr>
      <t>3</t>
    </r>
  </si>
  <si>
    <r>
      <t xml:space="preserve">FRAIS DE SÉJOUR </t>
    </r>
    <r>
      <rPr>
        <b/>
        <vertAlign val="superscript"/>
        <sz val="12"/>
        <color theme="0"/>
        <rFont val="Arial"/>
        <family val="2"/>
      </rPr>
      <t>2</t>
    </r>
  </si>
  <si>
    <r>
      <t xml:space="preserve">Nbre de jours admissibles 140 $ </t>
    </r>
    <r>
      <rPr>
        <b/>
        <vertAlign val="superscript"/>
        <sz val="10"/>
        <color theme="0"/>
        <rFont val="Arial"/>
        <family val="2"/>
      </rPr>
      <t>3</t>
    </r>
  </si>
  <si>
    <r>
      <t xml:space="preserve">Nbre de jours admissibles 
80 $ </t>
    </r>
    <r>
      <rPr>
        <b/>
        <vertAlign val="superscript"/>
        <sz val="10"/>
        <color theme="0"/>
        <rFont val="Arial"/>
        <family val="2"/>
      </rPr>
      <t>3</t>
    </r>
  </si>
  <si>
    <r>
      <t xml:space="preserve">Inscrire les frais de déplacement et les frais de séjour pour l'équipe de tournée dans l'onglet </t>
    </r>
    <r>
      <rPr>
        <b/>
        <sz val="14"/>
        <color theme="4" tint="-0.499984740745262"/>
        <rFont val="Arial"/>
        <family val="2"/>
      </rPr>
      <t>DEMANDE_Équipe_Tournée</t>
    </r>
    <r>
      <rPr>
        <b/>
        <sz val="14"/>
        <color rgb="FF0070C0"/>
        <rFont val="Arial"/>
        <family val="2"/>
      </rPr>
      <t xml:space="preserve"> </t>
    </r>
    <r>
      <rPr>
        <b/>
        <i/>
        <sz val="14"/>
        <color rgb="FFC00000"/>
        <rFont val="Arial"/>
        <family val="2"/>
      </rPr>
      <t>cliquer ici</t>
    </r>
  </si>
  <si>
    <r>
      <t xml:space="preserve">Inscrire les frais de transport local et les frais de transport de matériel dans l'onglet </t>
    </r>
    <r>
      <rPr>
        <b/>
        <sz val="14"/>
        <color theme="4" tint="-0.499984740745262"/>
        <rFont val="Arial"/>
        <family val="2"/>
      </rPr>
      <t>DEMANDE_Transport</t>
    </r>
    <r>
      <rPr>
        <b/>
        <sz val="14"/>
        <color rgb="FF0070C0"/>
        <rFont val="Arial"/>
        <family val="2"/>
      </rPr>
      <t xml:space="preserve"> </t>
    </r>
    <r>
      <rPr>
        <b/>
        <i/>
        <sz val="14"/>
        <color rgb="FFC00000"/>
        <rFont val="Arial"/>
        <family val="2"/>
      </rPr>
      <t>cliquer ici</t>
    </r>
  </si>
  <si>
    <r>
      <t xml:space="preserve">ÉCART
</t>
    </r>
    <r>
      <rPr>
        <b/>
        <sz val="9"/>
        <color theme="0"/>
        <rFont val="Arial"/>
        <family val="2"/>
      </rPr>
      <t>Montant Demande 
vs 
Montant Rapport final</t>
    </r>
  </si>
  <si>
    <r>
      <t xml:space="preserve">3. Ensuite, compléter les tableaux des coûts de </t>
    </r>
    <r>
      <rPr>
        <b/>
        <sz val="12"/>
        <color theme="4" tint="-0.499984740745262"/>
        <rFont val="Arial"/>
        <family val="2"/>
      </rPr>
      <t>Transport</t>
    </r>
    <r>
      <rPr>
        <b/>
        <sz val="12"/>
        <color rgb="FF0070C0"/>
        <rFont val="Arial"/>
        <family val="2"/>
      </rPr>
      <t xml:space="preserve"> </t>
    </r>
    <r>
      <rPr>
        <b/>
        <i/>
        <sz val="12"/>
        <color rgb="FFC00000"/>
        <rFont val="Arial"/>
        <family val="2"/>
      </rPr>
      <t>cliquer ici</t>
    </r>
  </si>
  <si>
    <t>Montant 
prévisionnel 
à débourser</t>
  </si>
  <si>
    <t>(Liste déroulante)</t>
  </si>
  <si>
    <t>calcul nb tech</t>
  </si>
  <si>
    <t>calcul total nb tech</t>
  </si>
  <si>
    <t>calcul limite 3 tech</t>
  </si>
  <si>
    <r>
      <t xml:space="preserve">Date 
</t>
    </r>
    <r>
      <rPr>
        <i/>
        <sz val="10"/>
        <color theme="0"/>
        <rFont val="Arial"/>
        <family val="2"/>
      </rPr>
      <t xml:space="preserve">(indiquer 
</t>
    </r>
    <r>
      <rPr>
        <b/>
        <i/>
        <u/>
        <sz val="10"/>
        <color theme="0"/>
        <rFont val="Arial"/>
        <family val="2"/>
      </rPr>
      <t>seulement</t>
    </r>
    <r>
      <rPr>
        <i/>
        <sz val="10"/>
        <color theme="0"/>
        <rFont val="Arial"/>
        <family val="2"/>
      </rPr>
      <t xml:space="preserve"> 
les dates de présentation)</t>
    </r>
    <r>
      <rPr>
        <b/>
        <sz val="11"/>
        <color theme="0"/>
        <rFont val="Arial"/>
        <family val="2"/>
      </rPr>
      <t xml:space="preserve">
</t>
    </r>
    <r>
      <rPr>
        <b/>
        <sz val="9"/>
        <color theme="0"/>
        <rFont val="Arial"/>
        <family val="2"/>
      </rPr>
      <t>aaaa-mm-jj</t>
    </r>
  </si>
  <si>
    <t>FRAIS DE DÉPLACEMENT DES QUÉBÉCOIS</t>
  </si>
  <si>
    <t>Prévisionnel</t>
  </si>
  <si>
    <t>Admissible</t>
  </si>
  <si>
    <t>Assurance-Transport bagages-
Permis-Location matériel</t>
  </si>
  <si>
    <r>
      <t xml:space="preserve">Assurances-Permis-Transport bagages-Location matériel </t>
    </r>
    <r>
      <rPr>
        <i/>
        <sz val="10"/>
        <rFont val="Arial"/>
        <family val="2"/>
      </rPr>
      <t>(maximum 2 000 $ ou 40 % du coût du transport)</t>
    </r>
  </si>
  <si>
    <r>
      <t xml:space="preserve">1. Identifier le(s) territoire(s) visé(s) à la ligne 15 </t>
    </r>
    <r>
      <rPr>
        <b/>
        <i/>
        <sz val="12"/>
        <color rgb="FFC00000"/>
        <rFont val="Arial"/>
        <family val="2"/>
      </rPr>
      <t>cliquer ici</t>
    </r>
  </si>
  <si>
    <r>
      <t xml:space="preserve">3. Ensuite, compléter le </t>
    </r>
    <r>
      <rPr>
        <b/>
        <sz val="12"/>
        <color theme="4" tint="-0.499984740745262"/>
        <rFont val="Arial"/>
        <family val="2"/>
      </rPr>
      <t>Calendrier de tournée</t>
    </r>
    <r>
      <rPr>
        <b/>
        <sz val="12"/>
        <color rgb="FF0070C0"/>
        <rFont val="Arial"/>
        <family val="2"/>
      </rPr>
      <t xml:space="preserve"> </t>
    </r>
    <r>
      <rPr>
        <b/>
        <i/>
        <sz val="12"/>
        <color rgb="FFC00000"/>
        <rFont val="Arial"/>
        <family val="2"/>
      </rPr>
      <t>cliquer ici</t>
    </r>
  </si>
  <si>
    <t>accès rapide 
au rapport final</t>
  </si>
  <si>
    <t>Statut</t>
  </si>
  <si>
    <t>STATUT</t>
  </si>
  <si>
    <t>Actif</t>
  </si>
  <si>
    <t>Fermé</t>
  </si>
  <si>
    <t>Refusé</t>
  </si>
  <si>
    <t>Non admissible</t>
  </si>
  <si>
    <r>
      <t xml:space="preserve">Type de transport 
Dépense </t>
    </r>
    <r>
      <rPr>
        <b/>
        <u/>
        <sz val="11"/>
        <color theme="0"/>
        <rFont val="Arial"/>
        <family val="2"/>
      </rPr>
      <t>HORS QUÉBEC</t>
    </r>
    <r>
      <rPr>
        <b/>
        <sz val="10"/>
        <color theme="0"/>
        <rFont val="Arial"/>
        <family val="2"/>
      </rPr>
      <t xml:space="preserve"> seulement</t>
    </r>
  </si>
  <si>
    <t>Transport local, Transport et location matériel, Assurances</t>
  </si>
  <si>
    <r>
      <t xml:space="preserve">Veuillez noter que la SODEC utilisera cette adresse courriel pour </t>
    </r>
    <r>
      <rPr>
        <b/>
        <i/>
        <sz val="9"/>
        <rFont val="Arial"/>
        <family val="2"/>
      </rPr>
      <t>communiquer les décisions</t>
    </r>
    <r>
      <rPr>
        <i/>
        <sz val="9"/>
        <rFont val="Arial"/>
        <family val="2"/>
      </rPr>
      <t xml:space="preserve"> et envoyer tout avis à l'entreprise requérante.</t>
    </r>
  </si>
  <si>
    <r>
      <t xml:space="preserve">Veuillez noter que la SODEC utilisera l'adresse courriel ci-dessus pour effectuer le </t>
    </r>
    <r>
      <rPr>
        <b/>
        <i/>
        <sz val="9"/>
        <rFont val="Arial"/>
        <family val="2"/>
      </rPr>
      <t>suivi du projet</t>
    </r>
    <r>
      <rPr>
        <i/>
        <sz val="9"/>
        <rFont val="Arial"/>
        <family val="2"/>
      </rPr>
      <t xml:space="preserve"> (si différent du courriel du représentant officiel).</t>
    </r>
  </si>
  <si>
    <r>
      <t xml:space="preserve">* Est-ce la première fois que le ou les territoires sont visités par l'artiste? 
</t>
    </r>
    <r>
      <rPr>
        <i/>
        <sz val="10"/>
        <rFont val="Arial"/>
        <family val="2"/>
      </rPr>
      <t>(oui / non)</t>
    </r>
  </si>
  <si>
    <t>Étape 8.</t>
  </si>
  <si>
    <t>Autres spécifier ci-dessous</t>
  </si>
  <si>
    <t>Autres spécifier ici :</t>
  </si>
  <si>
    <t>Confirmé 
ou 
pressenti?</t>
  </si>
  <si>
    <r>
      <t xml:space="preserve">3. Inscrire au moins </t>
    </r>
    <r>
      <rPr>
        <b/>
        <i/>
        <u/>
        <sz val="13"/>
        <color theme="4" tint="-0.499984740745262"/>
        <rFont val="Arial"/>
        <family val="2"/>
      </rPr>
      <t>cinq dates de spectacles</t>
    </r>
    <r>
      <rPr>
        <b/>
        <sz val="12"/>
        <color rgb="FF0070C0"/>
        <rFont val="Arial"/>
        <family val="2"/>
      </rPr>
      <t xml:space="preserve"> au calendrier pour que la tournée soit admissible.</t>
    </r>
  </si>
  <si>
    <t>Navette aéroport</t>
  </si>
  <si>
    <t>Poste de péage</t>
  </si>
  <si>
    <t>Stationnement</t>
  </si>
  <si>
    <t>Taxi</t>
  </si>
  <si>
    <t>Train</t>
  </si>
  <si>
    <t>Traversier</t>
  </si>
  <si>
    <r>
      <t xml:space="preserve">Ajouter les assistances pour chacun des spectacles - onglet RAPPORT_FINAL_Calendrier </t>
    </r>
    <r>
      <rPr>
        <b/>
        <i/>
        <sz val="13"/>
        <color rgb="FFC00000"/>
        <rFont val="Arial"/>
        <family val="2"/>
      </rPr>
      <t>cliquer ici</t>
    </r>
  </si>
  <si>
    <r>
      <t xml:space="preserve">2. Ajouter les chiffres d'assistance pour chaque spectacle </t>
    </r>
    <r>
      <rPr>
        <b/>
        <i/>
        <sz val="12"/>
        <color rgb="FFC00000"/>
        <rFont val="Arial"/>
        <family val="2"/>
      </rPr>
      <t>cliquer ici</t>
    </r>
  </si>
  <si>
    <t>4. Toutes les dates de tournée doivent être inscrites l'une à la suite de l'autre, à partir de la ligne 1, sans laisser de ligne vide entre chacune d'elles</t>
  </si>
  <si>
    <r>
      <t xml:space="preserve">1. Au besoin, ajouter les dates de spectacles non prévues au dépôt de la demande dans le tableau ci-dessous </t>
    </r>
    <r>
      <rPr>
        <b/>
        <i/>
        <sz val="12"/>
        <color rgb="FFC00000"/>
        <rFont val="Arial"/>
        <family val="2"/>
      </rPr>
      <t>cliquer ici</t>
    </r>
  </si>
  <si>
    <t>3. Au besoin, mettre à jour les informations du calendrier de spectacles</t>
  </si>
  <si>
    <t>Nbre Participants Résidents Québécois</t>
  </si>
  <si>
    <t>Nbre Participants Résidents non Québecois</t>
  </si>
  <si>
    <r>
      <t xml:space="preserve">Date de la plus récente parution 
</t>
    </r>
    <r>
      <rPr>
        <i/>
        <sz val="10"/>
        <rFont val="Arial"/>
        <family val="2"/>
      </rPr>
      <t>(ou parution à venir)</t>
    </r>
  </si>
  <si>
    <r>
      <t>Montant admissible</t>
    </r>
    <r>
      <rPr>
        <b/>
        <vertAlign val="superscript"/>
        <sz val="10"/>
        <color theme="0"/>
        <rFont val="Arial"/>
        <family val="2"/>
      </rPr>
      <t>1</t>
    </r>
  </si>
  <si>
    <t>Pertinence au regard du développement de l'entreprise et de l'artiste</t>
  </si>
  <si>
    <r>
      <t xml:space="preserve">Conseil des arts et des lettres du Québec (CALQ) </t>
    </r>
    <r>
      <rPr>
        <b/>
        <vertAlign val="superscript"/>
        <sz val="10"/>
        <rFont val="Arial"/>
        <family val="2"/>
      </rPr>
      <t>1</t>
    </r>
  </si>
  <si>
    <r>
      <t xml:space="preserve">Billetterie </t>
    </r>
    <r>
      <rPr>
        <b/>
        <i/>
        <sz val="10"/>
        <color rgb="FF0070C0"/>
        <rFont val="Arial"/>
        <family val="2"/>
      </rPr>
      <t>(référence montant du calendrier)</t>
    </r>
  </si>
  <si>
    <t>Les champs marqués d'un astérisque ( * ) ci-dessous sont obligatoires</t>
  </si>
  <si>
    <t>Municipal</t>
  </si>
  <si>
    <t>Fonds Radio Starmaker</t>
  </si>
  <si>
    <t>Spécifier ici :</t>
  </si>
  <si>
    <t>xxL/100 km</t>
  </si>
  <si>
    <t>rapport final</t>
  </si>
  <si>
    <t>demande</t>
  </si>
  <si>
    <t xml:space="preserve">total revenus  commandites, produits dérivés et autres excluant SODEC </t>
  </si>
  <si>
    <t>Location véhicule-Sélectionner dans la liste</t>
  </si>
  <si>
    <t>SECTION F : ÉQUIPE DE TOURNÉE</t>
  </si>
  <si>
    <t>SECTION G : BUDGET</t>
  </si>
  <si>
    <t>Calcul 2e versement si désengagement</t>
  </si>
  <si>
    <t>Dépôt de la demande</t>
  </si>
  <si>
    <t>Dépôt Rapport final</t>
  </si>
  <si>
    <t>Montant subvention révisé</t>
  </si>
  <si>
    <t>1er versement émis</t>
  </si>
  <si>
    <t>2e versement révisé</t>
  </si>
  <si>
    <t>Désengagement</t>
  </si>
  <si>
    <t>CALCUL COÛT ESSENCE / RECHARGE ÉLECTRICITÉ
DÉPÔT DU RAPPORT FINAL</t>
  </si>
  <si>
    <t>CALCUL COÛT ESSENCE / RECHARGE ÉLECTRICITÉ
DÉPÔT DE LA DEMANDE</t>
  </si>
  <si>
    <t>Relation de presse et promotion</t>
  </si>
  <si>
    <t>Montant recommandé</t>
  </si>
  <si>
    <t>Recouvrement</t>
  </si>
  <si>
    <t>1er versement prévu</t>
  </si>
  <si>
    <t>2e versement prévu</t>
  </si>
  <si>
    <t>Critères d'admissibilité</t>
  </si>
  <si>
    <t xml:space="preserve">Est-ce que votre entreprise rencontre tous les critères énumérés dans la liste ci-dessus? </t>
  </si>
  <si>
    <t xml:space="preserve">Pour être admissible, l'entreprise doit : </t>
  </si>
  <si>
    <t>Type de véhicule à essence</t>
  </si>
  <si>
    <t>Type de véhicule 
hybride ou électrique</t>
  </si>
  <si>
    <r>
      <t xml:space="preserve">Coût 
</t>
    </r>
    <r>
      <rPr>
        <i/>
        <sz val="10"/>
        <color theme="0"/>
        <rFont val="Arial"/>
        <family val="2"/>
      </rPr>
      <t>(prévisionnel)</t>
    </r>
  </si>
  <si>
    <t>Type de véhicule 
à essence</t>
  </si>
  <si>
    <t>Au besoin, retirer les coûts si certaines des dépenses n'ont pas été encourues</t>
  </si>
  <si>
    <t>Les valeurs des champs déjà peuplés sont basées sur les informations de la demande.  Si elles ne sont pas exactes, veuillez les remplacer par les valeurs actuelles.</t>
  </si>
  <si>
    <r>
      <rPr>
        <b/>
        <i/>
        <vertAlign val="superscript"/>
        <sz val="10"/>
        <color theme="4" tint="-0.499984740745262"/>
        <rFont val="Arial"/>
        <family val="2"/>
      </rPr>
      <t>1</t>
    </r>
    <r>
      <rPr>
        <b/>
        <i/>
        <sz val="10"/>
        <color theme="4" tint="-0.499984740745262"/>
        <rFont val="Arial"/>
        <family val="2"/>
      </rPr>
      <t xml:space="preserve"> Les montants admissibles sont égaux à 40 % du coût réel.</t>
    </r>
  </si>
  <si>
    <r>
      <rPr>
        <b/>
        <i/>
        <vertAlign val="superscript"/>
        <sz val="10"/>
        <color theme="4" tint="-0.499984740745262"/>
        <rFont val="Arial"/>
        <family val="2"/>
      </rPr>
      <t>1</t>
    </r>
    <r>
      <rPr>
        <b/>
        <i/>
        <sz val="10"/>
        <color theme="4" tint="-0.499984740745262"/>
        <rFont val="Arial"/>
        <family val="2"/>
      </rPr>
      <t xml:space="preserve"> Les montants admissibles sont égaux à 40 % du coût réel pour un maximum de 2 000 $</t>
    </r>
  </si>
  <si>
    <r>
      <t>Transport public</t>
    </r>
    <r>
      <rPr>
        <vertAlign val="superscript"/>
        <sz val="10"/>
        <rFont val="Arial"/>
        <family val="2"/>
      </rPr>
      <t>2</t>
    </r>
  </si>
  <si>
    <r>
      <t xml:space="preserve">Nom des entreprises de promotion, presse, publicité et autres 
pour cette tournée </t>
    </r>
    <r>
      <rPr>
        <i/>
        <sz val="10"/>
        <rFont val="Arial"/>
        <family val="2"/>
      </rPr>
      <t>(si différent des entreprises citées à la ligne 117)</t>
    </r>
  </si>
  <si>
    <r>
      <t xml:space="preserve">1. Entrer les informations requises ci-dessous : nom, fonction, résident du Québec </t>
    </r>
    <r>
      <rPr>
        <b/>
        <i/>
        <sz val="10"/>
        <color rgb="FF0070C0"/>
        <rFont val="Arial"/>
        <family val="2"/>
      </rPr>
      <t>(oui ou non)</t>
    </r>
    <r>
      <rPr>
        <b/>
        <sz val="12"/>
        <color rgb="FF0070C0"/>
        <rFont val="Arial"/>
        <family val="2"/>
      </rPr>
      <t>, coût du billet prévisionnel, territoire</t>
    </r>
  </si>
  <si>
    <r>
      <rPr>
        <b/>
        <i/>
        <vertAlign val="superscript"/>
        <sz val="10"/>
        <color theme="4" tint="-0.499984740745262"/>
        <rFont val="Arial"/>
        <family val="2"/>
      </rPr>
      <t>1</t>
    </r>
    <r>
      <rPr>
        <b/>
        <i/>
        <sz val="10"/>
        <color theme="4" tint="-0.499984740745262"/>
        <rFont val="Arial"/>
        <family val="2"/>
      </rPr>
      <t xml:space="preserve"> Le montant admissible est de 40 % du coût réel du billet d'avion. Aller-retour en classe économique, avec une contribution maximale par billet variant selon les territoires : 
  contribution maximale de 400 $ pour l’Amérique du Nord, 600 $ pour l’Europe, 800 $ pour les autres régions.</t>
    </r>
  </si>
  <si>
    <r>
      <rPr>
        <b/>
        <i/>
        <vertAlign val="superscript"/>
        <sz val="10"/>
        <color theme="4" tint="-0.499984740745262"/>
        <rFont val="Arial"/>
        <family val="2"/>
      </rPr>
      <t>2</t>
    </r>
    <r>
      <rPr>
        <b/>
        <i/>
        <sz val="10"/>
        <color theme="4" tint="-0.499984740745262"/>
        <rFont val="Arial"/>
        <family val="2"/>
      </rPr>
      <t xml:space="preserve"> L'aide en frais de séjour est accordée pour la veille de la première représentation, les journées de représentation ainsi que le lendemain de chaque représentation d’une tournée. 
  Elle inclut l'hébergement et l'allocation journalière.</t>
    </r>
  </si>
  <si>
    <r>
      <rPr>
        <b/>
        <i/>
        <vertAlign val="superscript"/>
        <sz val="10"/>
        <color theme="4" tint="-0.499984740745262"/>
        <rFont val="Arial"/>
        <family val="2"/>
      </rPr>
      <t>3</t>
    </r>
    <r>
      <rPr>
        <b/>
        <i/>
        <sz val="10"/>
        <color theme="4" tint="-0.499984740745262"/>
        <rFont val="Arial"/>
        <family val="2"/>
      </rPr>
      <t xml:space="preserve"> Frais de séjour de 140 $/personne/jour lorsque l’hébergement n’est pas fourni. Un montant forfaitaire quotidien de 80 $/personne/jour est accordé lorsque l’hébergement est fourni.  
  Un nombre maximal de 30 jours sera reconnu comme admissible pour les fins de ce calcul. </t>
    </r>
  </si>
  <si>
    <r>
      <rPr>
        <b/>
        <i/>
        <vertAlign val="superscript"/>
        <sz val="10"/>
        <color theme="4" tint="-0.499984740745262"/>
        <rFont val="Arial"/>
        <family val="2"/>
      </rPr>
      <t>3</t>
    </r>
    <r>
      <rPr>
        <b/>
        <i/>
        <sz val="10"/>
        <color theme="4" tint="-0.499984740745262"/>
        <rFont val="Arial"/>
        <family val="2"/>
      </rPr>
      <t xml:space="preserve"> Frais de séjour de 140 $/personne/jour lorsque l’hébergement n’est pas fourni. Un montant forfaitaire quotidien de 80 $/personne/jour est accordé lorsque l’hébergement est fourni. 
  Un nombre maximal de 30 jours sera reconnu comme admissible pour les fins de ce calcul. </t>
    </r>
  </si>
  <si>
    <r>
      <t xml:space="preserve">2. Ensuite, mettre à jour les tableaux des coûts de </t>
    </r>
    <r>
      <rPr>
        <b/>
        <sz val="12"/>
        <color theme="4" tint="-0.499984740745262"/>
        <rFont val="Arial"/>
        <family val="2"/>
      </rPr>
      <t>Transport</t>
    </r>
    <r>
      <rPr>
        <b/>
        <sz val="12"/>
        <color rgb="FF0070C0"/>
        <rFont val="Arial"/>
        <family val="2"/>
      </rPr>
      <t xml:space="preserve"> </t>
    </r>
    <r>
      <rPr>
        <b/>
        <i/>
        <sz val="12"/>
        <color rgb="FFC00000"/>
        <rFont val="Arial"/>
        <family val="2"/>
      </rPr>
      <t>cliquer ici</t>
    </r>
  </si>
  <si>
    <r>
      <t xml:space="preserve">* Cachets des artistes 
</t>
    </r>
    <r>
      <rPr>
        <b/>
        <i/>
        <sz val="10"/>
        <color theme="4" tint="-0.499984740745262"/>
        <rFont val="Arial"/>
        <family val="2"/>
      </rPr>
      <t>(montant non inscrit dans le Calendrier de tournée versé par le producteur)</t>
    </r>
  </si>
  <si>
    <t>* Commissions d'agents tourneurs</t>
  </si>
  <si>
    <t>* Location de salle</t>
  </si>
  <si>
    <t>AUTRES DÉPENSES</t>
  </si>
  <si>
    <t>Type de véhicule loué</t>
  </si>
  <si>
    <t>Plateau total</t>
  </si>
  <si>
    <t>Catégorie 1</t>
  </si>
  <si>
    <t>Catégorie 2</t>
  </si>
  <si>
    <t>Plateau Qc</t>
  </si>
  <si>
    <t>Nbr aide parentale</t>
  </si>
  <si>
    <t>nb aide parentale</t>
  </si>
  <si>
    <t>Aide parentale</t>
  </si>
  <si>
    <t>Transport avion</t>
  </si>
  <si>
    <t>Allocation journalière</t>
  </si>
  <si>
    <t>Coût essence</t>
  </si>
  <si>
    <t>Coût électricité</t>
  </si>
  <si>
    <t>Dépenses totales</t>
  </si>
  <si>
    <t>Réel</t>
  </si>
  <si>
    <t xml:space="preserve">L'artiste doit posséder un enregistrement sonore récent. 
La date de début de la tournée doit avoir lieu soit : 
a) dans les 24 mois suivant la sortie d’un album ou EP (36 mois dans le cas d’un disque de musique jazz, classique ou traditionnelle) ou b) dans les six mois précédant un lancement d’album ou EP au Québec ou sur le territoire visé par la tournée. </t>
  </si>
  <si>
    <t>- être sous contrôle majoritaire de citoyens canadiens ou résidents permanents domiciliés au Québec;</t>
  </si>
  <si>
    <t>- avoir son siège établi au Québec. On entend par siège l'endroit où se situe le centre de décision et où s'exerce la direction véritable de l'entreprise, notamment en matière artistique, administrative et financière.  Cette direction devra être exercée par des gestionnaires domiciliés au Québec;</t>
  </si>
  <si>
    <r>
      <t xml:space="preserve">        </t>
    </r>
    <r>
      <rPr>
        <b/>
        <sz val="12"/>
        <color rgb="FF0070C0"/>
        <rFont val="Calibri"/>
        <family val="2"/>
      </rPr>
      <t>○</t>
    </r>
    <r>
      <rPr>
        <b/>
        <sz val="12"/>
        <color rgb="FF0070C0"/>
        <rFont val="Arial"/>
        <family val="2"/>
      </rPr>
      <t xml:space="preserve">  le cas échéant, avoir déposé les rapports d'utilisation des subventions obtenues dans les années antérieures;</t>
    </r>
  </si>
  <si>
    <t>- être une entreprise légalement constituée (société par actions ou coopérative) active depuis au moins deux ans;</t>
  </si>
  <si>
    <t>- avoir sous contrat au moins deux artistes, groupes ou ensembles québécois, excluant les artistes actionnaires de l'entreprise.</t>
  </si>
  <si>
    <r>
      <t xml:space="preserve">* Cachets techniciens et aides parentales </t>
    </r>
    <r>
      <rPr>
        <b/>
        <i/>
        <sz val="10"/>
        <color theme="4" tint="-0.499984740745262"/>
        <rFont val="Arial"/>
        <family val="2"/>
      </rPr>
      <t>(incluants participants québécois et non québécois)</t>
    </r>
  </si>
  <si>
    <r>
      <rPr>
        <b/>
        <i/>
        <vertAlign val="superscript"/>
        <sz val="10"/>
        <color theme="4" tint="-0.499984740745262"/>
        <rFont val="Arial"/>
        <family val="2"/>
      </rPr>
      <t>1</t>
    </r>
    <r>
      <rPr>
        <b/>
        <i/>
        <sz val="10"/>
        <color theme="4" tint="-0.499984740745262"/>
        <rFont val="Arial"/>
        <family val="2"/>
      </rPr>
      <t xml:space="preserve"> Les montants admissibles sont égaux à 40 % du coût réel pour un maximum de 2 000 $.</t>
    </r>
  </si>
  <si>
    <t>5. Au besoin, mettre à jour les montants de la billetterie</t>
  </si>
  <si>
    <t>A) La date de début de la tournée doit avoir lieu dans les 24 mois suivants la sortie d'un album ou EP (36 mois dans le cas d'un disque de musique jazz, classique ou traditionnelle)
ou
B) dans les six mois précédents un lancement d'album ou EP au Québec ou sur le territoire visé par la tournée</t>
  </si>
  <si>
    <t>L'artiste ou groupe québécois est-il suffisamment implanté et 
possède-t-il une expérience significative de la scène au Québec?</t>
  </si>
  <si>
    <t>Y a-t-il présence d'une stratégie de développement sur le territoire?</t>
  </si>
  <si>
    <t>Y a-t-il une bonne justification des marchés cibles?</t>
  </si>
  <si>
    <t>Y a-t-il présence d'un agent-tourneur sur le territoire?</t>
  </si>
  <si>
    <t>L'artiste ou groupe dispose-t-il d'un entourage professionnel sur place suffisamment solide?</t>
  </si>
  <si>
    <r>
      <t xml:space="preserve">4. Ensuite, inscrire les informations requises pour </t>
    </r>
    <r>
      <rPr>
        <b/>
        <sz val="12"/>
        <color theme="4" tint="-0.499984740745262"/>
        <rFont val="Arial"/>
        <family val="2"/>
      </rPr>
      <t>l'Équipe de tournée</t>
    </r>
    <r>
      <rPr>
        <b/>
        <sz val="12"/>
        <color rgb="FF0070C0"/>
        <rFont val="Arial"/>
        <family val="2"/>
      </rPr>
      <t xml:space="preserve"> </t>
    </r>
    <r>
      <rPr>
        <b/>
        <i/>
        <sz val="12"/>
        <color rgb="FFC00000"/>
        <rFont val="Arial"/>
        <family val="2"/>
      </rPr>
      <t>cliquer ici</t>
    </r>
  </si>
  <si>
    <t>Bus 24-56 passagers à essence</t>
  </si>
  <si>
    <t>Camionnette 8-18 passagers à essence</t>
  </si>
  <si>
    <t>Voiture à essence</t>
  </si>
  <si>
    <r>
      <t xml:space="preserve">Mettre à jour les informations en fonction des coûts réels de transport et location de matériel, assurances et permis de travail </t>
    </r>
    <r>
      <rPr>
        <b/>
        <i/>
        <sz val="14"/>
        <color rgb="FFC00000"/>
        <rFont val="Arial"/>
        <family val="2"/>
      </rPr>
      <t>cliquer ici</t>
    </r>
  </si>
  <si>
    <r>
      <t xml:space="preserve">6. Ensuite, réviser les informations requises pour </t>
    </r>
    <r>
      <rPr>
        <b/>
        <sz val="12"/>
        <color theme="4" tint="-0.499984740745262"/>
        <rFont val="Arial"/>
        <family val="2"/>
      </rPr>
      <t>l'Équipe de tournée</t>
    </r>
    <r>
      <rPr>
        <b/>
        <sz val="12"/>
        <color rgb="FF0070C0"/>
        <rFont val="Arial"/>
        <family val="2"/>
      </rPr>
      <t xml:space="preserve"> - </t>
    </r>
    <r>
      <rPr>
        <b/>
        <i/>
        <sz val="12"/>
        <color rgb="FFC00000"/>
        <rFont val="Arial"/>
        <family val="2"/>
      </rPr>
      <t>cliquer ici</t>
    </r>
  </si>
  <si>
    <r>
      <t xml:space="preserve">Compléter la section Rapport final du budget - Section G </t>
    </r>
    <r>
      <rPr>
        <b/>
        <i/>
        <sz val="13"/>
        <color rgb="FFC00000"/>
        <rFont val="Arial"/>
        <family val="2"/>
      </rPr>
      <t>cliquer ici</t>
    </r>
  </si>
  <si>
    <t>Montant total frais admissibles</t>
  </si>
  <si>
    <t>Montant total des dépenses reconnues</t>
  </si>
  <si>
    <t>SECTION H : SOURCES DE REVENUS</t>
  </si>
  <si>
    <t>TOTAL REVENUS</t>
  </si>
  <si>
    <t>Montant total revenus</t>
  </si>
  <si>
    <t>PALESTINE</t>
  </si>
  <si>
    <t>ROYAUME UNI ET IRLANDE DU NORD</t>
  </si>
  <si>
    <t>Liste de vérification au dépôt de la demande</t>
  </si>
  <si>
    <t xml:space="preserve">1.  </t>
  </si>
  <si>
    <t xml:space="preserve">2.  </t>
  </si>
  <si>
    <t xml:space="preserve">3.  </t>
  </si>
  <si>
    <t xml:space="preserve">4.  </t>
  </si>
  <si>
    <t xml:space="preserve">5.  </t>
  </si>
  <si>
    <t>Résumé du projet</t>
  </si>
  <si>
    <t>Développement de l'artiste</t>
  </si>
  <si>
    <t>Objectifs stratégiques de la tournée</t>
  </si>
  <si>
    <t>Ratio dépenses/revenus</t>
  </si>
  <si>
    <r>
      <t xml:space="preserve">Compléter la section Rapport final des sources de revenus - Section H </t>
    </r>
    <r>
      <rPr>
        <b/>
        <i/>
        <sz val="13"/>
        <color rgb="FFC00000"/>
        <rFont val="Arial"/>
        <family val="2"/>
      </rPr>
      <t>cliquer ici</t>
    </r>
  </si>
  <si>
    <t>SYNTHÈSE DU BUDGET</t>
  </si>
  <si>
    <t>Onglet Formulaire_Demande</t>
  </si>
  <si>
    <t>Onglet Statistiques</t>
  </si>
  <si>
    <t>Onglet DEMANDE_Calendrier_Tournée</t>
  </si>
  <si>
    <t>Onglet DEMANDE_Équipe_Tournée</t>
  </si>
  <si>
    <t>Onglet DEMANDE_Transport</t>
  </si>
  <si>
    <t>Toutes les sections sont complétées</t>
  </si>
  <si>
    <t>Toutes les statistiques ont été inscrites</t>
  </si>
  <si>
    <t>Toutes les informations sur les dates de spectacles ont été entrées</t>
  </si>
  <si>
    <t>Toutes les informations sur le transport, la location d'équipement, les assurances et permis ont été entrées</t>
  </si>
  <si>
    <t>ATTENTION : CONSERVER CE DOCUMENT POUR SOUMETTRE VOTRE RAPPORT FINAL
TOUT DOSSIER INCOMPLET SERA REFUSÉ</t>
  </si>
  <si>
    <r>
      <t xml:space="preserve">* Coût total de l'hébergement 
</t>
    </r>
    <r>
      <rPr>
        <b/>
        <i/>
        <sz val="10"/>
        <color theme="4" tint="-0.499984740745262"/>
        <rFont val="Arial"/>
        <family val="2"/>
      </rPr>
      <t>(excluant la portion des allocations journalières dédiée au logement)</t>
    </r>
  </si>
  <si>
    <t>* Titre de l'enregistrement sonore de l'artiste</t>
  </si>
  <si>
    <t>Bus 24-56 passagers électrique</t>
  </si>
  <si>
    <t>Camionnette 8-18 passagers électrique</t>
  </si>
  <si>
    <t>Voiture électrique</t>
  </si>
  <si>
    <t>Étape 1</t>
  </si>
  <si>
    <t>Étape 2</t>
  </si>
  <si>
    <t>Étape 3</t>
  </si>
  <si>
    <t>Étape 4</t>
  </si>
  <si>
    <t>Étape 5</t>
  </si>
  <si>
    <t>Étape 6</t>
  </si>
  <si>
    <t>Colonne C</t>
  </si>
  <si>
    <t>Colonne D</t>
  </si>
  <si>
    <t>Colonne L</t>
  </si>
  <si>
    <t xml:space="preserve">Colonne M </t>
  </si>
  <si>
    <t>Colonne R</t>
  </si>
  <si>
    <t>Étape 7</t>
  </si>
  <si>
    <t>Colonne Y</t>
  </si>
  <si>
    <r>
      <t xml:space="preserve">Sélectionner dans la liste déroulante le type de véhicule de location, lorsqu'applicable </t>
    </r>
    <r>
      <rPr>
        <b/>
        <i/>
        <sz val="13"/>
        <color rgb="FFC00000"/>
        <rFont val="Arial"/>
        <family val="2"/>
      </rPr>
      <t>cliquer ici</t>
    </r>
  </si>
  <si>
    <r>
      <t xml:space="preserve">Inscrire les coûts de transports local </t>
    </r>
    <r>
      <rPr>
        <b/>
        <u/>
        <sz val="13"/>
        <color theme="4" tint="-0.499984740745262"/>
        <rFont val="Arial"/>
        <family val="2"/>
      </rPr>
      <t>HORS QUÉBEC</t>
    </r>
    <r>
      <rPr>
        <b/>
        <sz val="13"/>
        <color theme="4" tint="-0.499984740745262"/>
        <rFont val="Arial"/>
        <family val="2"/>
      </rPr>
      <t xml:space="preserve"> prévisionnels, lorsqu'applicable </t>
    </r>
    <r>
      <rPr>
        <b/>
        <i/>
        <sz val="13"/>
        <color rgb="FFC00000"/>
        <rFont val="Arial"/>
        <family val="2"/>
      </rPr>
      <t>cliquer ici</t>
    </r>
  </si>
  <si>
    <r>
      <t xml:space="preserve">Pour véhicule à essence seulement - Inscrire la distance parcourue prévisionnelle en kilomètres, par véhicule loué, lorsqu'applicable </t>
    </r>
    <r>
      <rPr>
        <b/>
        <i/>
        <sz val="13"/>
        <color rgb="FFC00000"/>
        <rFont val="Arial"/>
        <family val="2"/>
      </rPr>
      <t>cliquer ici</t>
    </r>
  </si>
  <si>
    <r>
      <t xml:space="preserve">Pour véhicule à essence seulement - Inscrire le coût moyen prévisionnel de l'essence, lorsqu'applicable </t>
    </r>
    <r>
      <rPr>
        <b/>
        <i/>
        <sz val="13"/>
        <color rgb="FFC00000"/>
        <rFont val="Arial"/>
        <family val="2"/>
      </rPr>
      <t>cliquer ici</t>
    </r>
  </si>
  <si>
    <r>
      <t xml:space="preserve">Pour véhicule hybride seulement - Inscrire la distance parcourue en kilomètres par véhicule loué, lorsqu'applicable </t>
    </r>
    <r>
      <rPr>
        <b/>
        <i/>
        <sz val="13"/>
        <color rgb="FFC00000"/>
        <rFont val="Arial"/>
        <family val="2"/>
      </rPr>
      <t>cliquer ici</t>
    </r>
  </si>
  <si>
    <r>
      <t xml:space="preserve">Inscrire les coûts de transport et location de matériel, assurances, permis de travail prévisionnels, lorsqu'applicable </t>
    </r>
    <r>
      <rPr>
        <b/>
        <i/>
        <sz val="13"/>
        <color rgb="FFC00000"/>
        <rFont val="Arial"/>
        <family val="2"/>
      </rPr>
      <t>cliquer ici</t>
    </r>
  </si>
  <si>
    <t>Colonne P</t>
  </si>
  <si>
    <t>Colonne V</t>
  </si>
  <si>
    <r>
      <t xml:space="preserve">Au besoin, mettre à jour le type de véhicule de location à partir de la liste déroulante </t>
    </r>
    <r>
      <rPr>
        <b/>
        <i/>
        <sz val="14"/>
        <color rgb="FFC00000"/>
        <rFont val="Arial"/>
        <family val="2"/>
      </rPr>
      <t>cliquer ici</t>
    </r>
  </si>
  <si>
    <r>
      <t xml:space="preserve">Au besoin, mettre à jour les informations en fonction des coûts réels de transport local </t>
    </r>
    <r>
      <rPr>
        <b/>
        <i/>
        <sz val="14"/>
        <color rgb="FFC00000"/>
        <rFont val="Arial"/>
        <family val="2"/>
      </rPr>
      <t>cliquer ici</t>
    </r>
  </si>
  <si>
    <r>
      <t xml:space="preserve">Pour la location de véhicule à essence, inscrire le total du coût réel de l'essence par type de véhicule </t>
    </r>
    <r>
      <rPr>
        <b/>
        <i/>
        <sz val="14"/>
        <color rgb="FFC00000"/>
        <rFont val="Arial"/>
        <family val="2"/>
      </rPr>
      <t>cliquer ici</t>
    </r>
  </si>
  <si>
    <r>
      <t xml:space="preserve">Pour la location de véhicule hybride ou électrique, inscrire le total du coût réel de la recharge électrique par type de véhicule </t>
    </r>
    <r>
      <rPr>
        <b/>
        <i/>
        <sz val="14"/>
        <color rgb="FFC00000"/>
        <rFont val="Arial"/>
        <family val="2"/>
      </rPr>
      <t>cliquer ici</t>
    </r>
  </si>
  <si>
    <r>
      <t xml:space="preserve">Retourner au </t>
    </r>
    <r>
      <rPr>
        <b/>
        <sz val="14"/>
        <color rgb="FF0070C0"/>
        <rFont val="Arial"/>
        <family val="2"/>
      </rPr>
      <t>Rapport_Final</t>
    </r>
    <r>
      <rPr>
        <b/>
        <sz val="14"/>
        <color theme="4" tint="-0.499984740745262"/>
        <rFont val="Arial"/>
        <family val="2"/>
      </rPr>
      <t xml:space="preserve"> </t>
    </r>
    <r>
      <rPr>
        <b/>
        <i/>
        <sz val="14"/>
        <color rgb="FFC00000"/>
        <rFont val="Arial"/>
        <family val="2"/>
      </rPr>
      <t>cliquer ici</t>
    </r>
  </si>
  <si>
    <r>
      <t xml:space="preserve">* Date de sortie de l'enregistrement sonore </t>
    </r>
    <r>
      <rPr>
        <i/>
        <sz val="10"/>
        <rFont val="Arial"/>
        <family val="2"/>
      </rPr>
      <t>(aaaa-mm-jj)</t>
    </r>
  </si>
  <si>
    <r>
      <t xml:space="preserve">* Communications 
</t>
    </r>
    <r>
      <rPr>
        <b/>
        <i/>
        <sz val="10"/>
        <color theme="4" tint="-0.499984740745262"/>
        <rFont val="Arial"/>
        <family val="2"/>
      </rPr>
      <t xml:space="preserve">(coûts pour professionnels </t>
    </r>
    <r>
      <rPr>
        <b/>
        <u/>
        <sz val="10"/>
        <color theme="4" tint="-0.499984740745262"/>
        <rFont val="Arial"/>
        <family val="2"/>
      </rPr>
      <t>EXTERNES</t>
    </r>
    <r>
      <rPr>
        <b/>
        <sz val="10"/>
        <color theme="4" tint="-0.499984740745262"/>
        <rFont val="Arial"/>
        <family val="2"/>
      </rPr>
      <t xml:space="preserve"> :
</t>
    </r>
    <r>
      <rPr>
        <b/>
        <i/>
        <sz val="10"/>
        <color theme="4" tint="-0.499984740745262"/>
        <rFont val="Arial"/>
        <family val="2"/>
      </rPr>
      <t>pistage radio, publicité, promotion et affichage)</t>
    </r>
  </si>
  <si>
    <t>RÉSERVÉ SODEC</t>
  </si>
  <si>
    <t>Notes explicatives</t>
  </si>
  <si>
    <r>
      <t xml:space="preserve">Écart 
</t>
    </r>
    <r>
      <rPr>
        <b/>
        <sz val="9"/>
        <color theme="0"/>
        <rFont val="Arial"/>
        <family val="2"/>
      </rPr>
      <t>(prévisionnel vs réel)</t>
    </r>
  </si>
  <si>
    <t>révisé SODEC demande</t>
  </si>
  <si>
    <t>révisé SODEC rapport</t>
  </si>
  <si>
    <t>révisé SODEC rappport</t>
  </si>
  <si>
    <t>Révisé SODEC Demande</t>
  </si>
  <si>
    <t>Révisé SODEC Rapport final</t>
  </si>
  <si>
    <t>Tournée</t>
  </si>
  <si>
    <t>No DM</t>
  </si>
  <si>
    <t>Autres programmes SODEC spécifier ici :</t>
  </si>
  <si>
    <r>
      <t xml:space="preserve">Outil d'aide : vous pouvez utiliser le convertisseur de devise de la Banque du Canada pour calculer la conversion de vos montants : </t>
    </r>
    <r>
      <rPr>
        <b/>
        <i/>
        <u/>
        <sz val="13"/>
        <color rgb="FF0070C0"/>
        <rFont val="Arial"/>
        <family val="2"/>
      </rPr>
      <t xml:space="preserve">https://www.banqueducanada.ca/taux/taux-de-change/convertisseur-de-devises/ </t>
    </r>
  </si>
  <si>
    <r>
      <t xml:space="preserve">Outil d'aide : vous pouvez utiliser le calculateur de distance pour planifier vos trajets : </t>
    </r>
    <r>
      <rPr>
        <b/>
        <i/>
        <u/>
        <sz val="13"/>
        <color rgb="FF0070C0"/>
        <rFont val="Arial"/>
        <family val="2"/>
      </rPr>
      <t>https://www.mapquest.com/routeplanner/narrative</t>
    </r>
  </si>
  <si>
    <r>
      <t xml:space="preserve">Outil d'aide : vous pouvez utiliser cet outil pour consulter les prix mondiaux de l'essence : </t>
    </r>
    <r>
      <rPr>
        <b/>
        <i/>
        <u/>
        <sz val="13"/>
        <color theme="10"/>
        <rFont val="Arial"/>
        <family val="2"/>
      </rPr>
      <t>https://www.globalpetrolprices.com/gasoline_prices/</t>
    </r>
  </si>
  <si>
    <t>- être une entreprise membre d'une association de producteurs ayant négocié des ententes collectives avec les associations d'artistes reconnues du domaine de la musique et des variétés, ou qui s'engage à respecter le contenu de ces ententes:</t>
  </si>
  <si>
    <t>- avoir réalisé un chiffre d'affaires minimal de 50 000 $ au cours de son dernier exercice financier;</t>
  </si>
  <si>
    <t>(par exemple : % accroissement des ventes, développement de XX marchés et XX retombées attendues, recherche de financement étranger pour X projets, entente de partenariat à détailler, ventes de droits avec cible précise, présence média accrue avec cible, etc.)</t>
  </si>
  <si>
    <r>
      <t xml:space="preserve">Le soutien gouvernemental cumulé </t>
    </r>
    <r>
      <rPr>
        <b/>
        <i/>
        <sz val="16"/>
        <color theme="4" tint="-0.499984740745262"/>
        <rFont val="Arial"/>
        <family val="2"/>
      </rPr>
      <t>(y compris LOJIQ, Musicaction, FACTOR, StarMaker, Fonds RadioStar et autres)</t>
    </r>
    <r>
      <rPr>
        <b/>
        <sz val="16"/>
        <color theme="4" tint="-0.499984740745262"/>
        <rFont val="Arial"/>
        <family val="2"/>
      </rPr>
      <t xml:space="preserve"> 
pour une tournée ne peut dépasser 100 % des coûts totaux de la tournée.</t>
    </r>
  </si>
  <si>
    <t>Toutes les informations sur les membres du plateau ont été entrées</t>
  </si>
  <si>
    <t>Nombre de vues pour les vidéoclips</t>
  </si>
  <si>
    <r>
      <t xml:space="preserve">2. Inscrire au moins </t>
    </r>
    <r>
      <rPr>
        <b/>
        <i/>
        <u/>
        <sz val="13"/>
        <color theme="4" tint="-0.499984740745262"/>
        <rFont val="Arial"/>
        <family val="2"/>
      </rPr>
      <t>deux lieux de diffusion différents</t>
    </r>
    <r>
      <rPr>
        <b/>
        <i/>
        <sz val="12"/>
        <color rgb="FF0070C0"/>
        <rFont val="Arial"/>
        <family val="2"/>
      </rPr>
      <t xml:space="preserve"> </t>
    </r>
    <r>
      <rPr>
        <b/>
        <sz val="12"/>
        <color rgb="FF0070C0"/>
        <rFont val="Arial"/>
        <family val="2"/>
      </rPr>
      <t>au calendrier pour que la tournée soit admissible.</t>
    </r>
  </si>
  <si>
    <t>2. Si un ou des participants ne sont pas présents pour toute la durée de la tournée, modifier le nombre de jours admissibles pour ceux-ci</t>
  </si>
  <si>
    <t>Si un ou des participants ne sont pas présents pour toute la durée de la tournée, veuillez modifier le nombre de jours admissibles pour ceux-ci</t>
  </si>
  <si>
    <t>nb résidents Qc</t>
  </si>
  <si>
    <t>nb personnes plateau</t>
  </si>
  <si>
    <t>nb techniciens/dir tournée</t>
  </si>
  <si>
    <r>
      <t xml:space="preserve">Distance parcourue en Km
</t>
    </r>
    <r>
      <rPr>
        <i/>
        <sz val="10"/>
        <color theme="0"/>
        <rFont val="Arial"/>
        <family val="2"/>
      </rPr>
      <t>(prévisionnelle)</t>
    </r>
  </si>
  <si>
    <r>
      <rPr>
        <b/>
        <i/>
        <vertAlign val="superscript"/>
        <sz val="10"/>
        <color theme="4" tint="-0.499984740745262"/>
        <rFont val="Arial"/>
        <family val="2"/>
      </rPr>
      <t>2</t>
    </r>
    <r>
      <rPr>
        <b/>
        <i/>
        <sz val="10"/>
        <color theme="4" tint="-0.499984740745262"/>
        <rFont val="Arial"/>
        <family val="2"/>
      </rPr>
      <t xml:space="preserve"> Inclus : Autobus de ville, Tramway, Train de banlieue, Métro</t>
    </r>
  </si>
  <si>
    <t xml:space="preserve">En vue des objectifs : </t>
  </si>
  <si>
    <r>
      <t xml:space="preserve">Coût recharge électricité 
($ CA)
</t>
    </r>
    <r>
      <rPr>
        <i/>
        <sz val="10"/>
        <color theme="0"/>
        <rFont val="Arial"/>
        <family val="2"/>
      </rPr>
      <t>(réel)</t>
    </r>
  </si>
  <si>
    <r>
      <rPr>
        <b/>
        <i/>
        <vertAlign val="superscript"/>
        <sz val="10"/>
        <color theme="4" tint="-0.499984740745262"/>
        <rFont val="Arial"/>
        <family val="2"/>
      </rPr>
      <t>1</t>
    </r>
    <r>
      <rPr>
        <b/>
        <i/>
        <sz val="10"/>
        <color theme="4" tint="-0.499984740745262"/>
        <rFont val="Arial"/>
        <family val="2"/>
      </rPr>
      <t xml:space="preserve"> Les montants admissibles sont égaux à 40 % du coût réel</t>
    </r>
  </si>
  <si>
    <t>Cachet 
($ CA)</t>
  </si>
  <si>
    <r>
      <t xml:space="preserve">
Billetterie 
($ CA)
 </t>
    </r>
    <r>
      <rPr>
        <i/>
        <sz val="10"/>
        <color theme="0"/>
        <rFont val="Arial"/>
        <family val="2"/>
      </rPr>
      <t>(prévisionnelle)</t>
    </r>
  </si>
  <si>
    <r>
      <t xml:space="preserve">Coût moyen essence 
($ CA/Litre)
</t>
    </r>
    <r>
      <rPr>
        <i/>
        <sz val="10"/>
        <color theme="0"/>
        <rFont val="Arial"/>
        <family val="2"/>
      </rPr>
      <t>(prévisionnel)</t>
    </r>
  </si>
  <si>
    <r>
      <t xml:space="preserve">Coût de l'essence ($ CA)
</t>
    </r>
    <r>
      <rPr>
        <i/>
        <sz val="10"/>
        <color theme="0"/>
        <rFont val="Arial"/>
        <family val="2"/>
      </rPr>
      <t>(prévisionnel)</t>
    </r>
  </si>
  <si>
    <r>
      <t xml:space="preserve">Coût recharge électricité 
($ CA)
</t>
    </r>
    <r>
      <rPr>
        <i/>
        <sz val="10"/>
        <color theme="0"/>
        <rFont val="Arial"/>
        <family val="2"/>
      </rPr>
      <t>(prévisionnel)</t>
    </r>
  </si>
  <si>
    <r>
      <t xml:space="preserve">
Cachet 
($ CA)
</t>
    </r>
    <r>
      <rPr>
        <i/>
        <sz val="11"/>
        <color theme="0"/>
        <rFont val="Arial"/>
        <family val="2"/>
      </rPr>
      <t xml:space="preserve">
</t>
    </r>
  </si>
  <si>
    <r>
      <t xml:space="preserve">
Billetterie 
($ CA)
</t>
    </r>
    <r>
      <rPr>
        <i/>
        <sz val="10"/>
        <color theme="0"/>
        <rFont val="Arial"/>
        <family val="2"/>
      </rPr>
      <t xml:space="preserve">
(réelle)</t>
    </r>
  </si>
  <si>
    <r>
      <t xml:space="preserve">Cachet 
($ CA)
</t>
    </r>
    <r>
      <rPr>
        <i/>
        <sz val="11"/>
        <color theme="0"/>
        <rFont val="Arial"/>
        <family val="2"/>
      </rPr>
      <t xml:space="preserve">
(réel)</t>
    </r>
  </si>
  <si>
    <r>
      <t xml:space="preserve">Billetterie 
($ CA)
</t>
    </r>
    <r>
      <rPr>
        <i/>
        <sz val="10"/>
        <color theme="0"/>
        <rFont val="Arial"/>
        <family val="2"/>
      </rPr>
      <t xml:space="preserve">
(réelle)</t>
    </r>
  </si>
  <si>
    <t>Cachet max. de la tournée</t>
  </si>
  <si>
    <t>Cachet min. de la tournée</t>
  </si>
  <si>
    <t>Total des revenus (incluant montant admissible par la SODEC)</t>
  </si>
  <si>
    <t>Afin de vous assurer que vous avez bien complété l'ensemble des onglets, veuillez cocher ci-dessous les cases de la liste de vérification</t>
  </si>
  <si>
    <r>
      <t xml:space="preserve">Objectifs atteints?
</t>
    </r>
    <r>
      <rPr>
        <i/>
        <sz val="11"/>
        <color theme="4" tint="-0.499984740745262"/>
        <rFont val="Arial"/>
        <family val="2"/>
      </rPr>
      <t>(Oui / Non)</t>
    </r>
  </si>
  <si>
    <r>
      <t xml:space="preserve">* Comptez-vous poursuivre des efforts de développement sur ce(s) territoire(s) dans les prochaines années? </t>
    </r>
    <r>
      <rPr>
        <i/>
        <sz val="10"/>
        <rFont val="Arial"/>
        <family val="2"/>
      </rPr>
      <t>(Oui / Non)</t>
    </r>
  </si>
  <si>
    <t>Le représentant officiel de l'entreprise est la personne ayant la capacité d’engager la société et l’autorisation de signer un contrat d’aide financière.</t>
  </si>
  <si>
    <r>
      <t xml:space="preserve">Retourner au </t>
    </r>
    <r>
      <rPr>
        <b/>
        <sz val="13"/>
        <color rgb="FF0070C0"/>
        <rFont val="Arial"/>
        <family val="2"/>
      </rPr>
      <t>Formulaire_Demande Section G Budget</t>
    </r>
    <r>
      <rPr>
        <b/>
        <sz val="13"/>
        <color theme="4" tint="-0.499984740745262"/>
        <rFont val="Arial"/>
        <family val="2"/>
      </rPr>
      <t xml:space="preserve"> </t>
    </r>
    <r>
      <rPr>
        <b/>
        <i/>
        <sz val="13"/>
        <color rgb="FFC00000"/>
        <rFont val="Arial"/>
        <family val="2"/>
      </rPr>
      <t>cliquer ici</t>
    </r>
  </si>
  <si>
    <t>RÉPUBLIQUE TCHÈQUE</t>
  </si>
  <si>
    <t>Montant demandé à la SODEC</t>
  </si>
  <si>
    <t>dernière mise à jour : 23 octobre 2023</t>
  </si>
  <si>
    <t>Expliquez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</si>
</sst>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 #,##0_)\ &quot;$&quot;_ ;_ * \(#,##0\)\ &quot;$&quot;_ ;_ * &quot;-&quot;_)\ &quot;$&quot;_ ;_ @_ "/>
    <numFmt numFmtId="44" formatCode="_ * #,##0.00_)\ &quot;$&quot;_ ;_ * \(#,##0.00\)\ &quot;$&quot;_ ;_ * &quot;-&quot;??_)\ &quot;$&quot;_ ;_ @_ "/>
    <numFmt numFmtId="164" formatCode="#,##0\ [$$-C0C]"/>
    <numFmt numFmtId="165" formatCode="_(#,##0\ &quot;$&quot;_);_(\(#,##0\ &quot;$&quot;\);_(&quot;- $&quot;_);_(@_)"/>
    <numFmt numFmtId="166" formatCode="mmm/yyyy"/>
    <numFmt numFmtId="167" formatCode="#,##0.00\ [$$-C0C]"/>
    <numFmt numFmtId="168" formatCode="#,##0\ &quot;$&quot;"/>
    <numFmt numFmtId="169" formatCode="#,##0.00\ &quot;$&quot;"/>
    <numFmt numFmtId="170" formatCode="[&lt;=9999999]###\-####;###\-###\-####"/>
    <numFmt numFmtId="171" formatCode="[$-F800]dddd\,\ mmmm\ dd\,\ yyyy"/>
    <numFmt numFmtId="172" formatCode="dd/mmm/yyyy"/>
    <numFmt numFmtId="173" formatCode="_-* #,##0\ &quot;$&quot;_-;\-* #,##0\ &quot;$&quot;_-;_-* &quot;-&quot;\ &quot;$&quot;_-;_-@_-"/>
    <numFmt numFmtId="174" formatCode="#,##0\ [$$-C0C]_);\(#,##0\ [$$-C0C]\)"/>
    <numFmt numFmtId="175" formatCode="_ * #,##0_)\ [$$-C0C]_ ;_ * \(#,##0\)\ [$$-C0C]_ ;_ * &quot;-&quot;_)\ [$$-C0C]_ ;_ @_ "/>
    <numFmt numFmtId="176" formatCode="_ * #,##0.00_)\ &quot;$&quot;_ ;_ * \(#,##0.00\)\ &quot;$&quot;_ ;_ * &quot;-&quot;_)\ &quot;$&quot;_ ;_ @_ "/>
    <numFmt numFmtId="177" formatCode="yyyy/mm/dd;@"/>
  </numFmts>
  <fonts count="166" x14ac:knownFonts="1">
    <font>
      <sz val="11"/>
      <color theme="1"/>
      <name val="Calibri"/>
      <family val="2"/>
    </font>
    <font>
      <sz val="12"/>
      <color indexed="12"/>
      <name val="Arial"/>
      <family val="2"/>
    </font>
    <font>
      <b/>
      <sz val="12"/>
      <name val="Arial"/>
      <family val="2"/>
    </font>
    <font>
      <sz val="10"/>
      <name val="Arial"/>
      <family val="2"/>
    </font>
    <font>
      <sz val="12"/>
      <name val="Arial"/>
      <family val="2"/>
    </font>
    <font>
      <sz val="11"/>
      <color theme="1"/>
      <name val="Arial"/>
      <family val="2"/>
    </font>
    <font>
      <b/>
      <sz val="14"/>
      <color theme="1"/>
      <name val="Arial"/>
      <family val="2"/>
    </font>
    <font>
      <b/>
      <sz val="11"/>
      <color theme="1"/>
      <name val="Arial"/>
      <family val="2"/>
    </font>
    <font>
      <b/>
      <sz val="13"/>
      <color theme="1"/>
      <name val="Arial"/>
      <family val="2"/>
    </font>
    <font>
      <b/>
      <sz val="13"/>
      <name val="Arial"/>
      <family val="2"/>
    </font>
    <font>
      <sz val="12"/>
      <color theme="1"/>
      <name val="Arial"/>
      <family val="2"/>
    </font>
    <font>
      <b/>
      <sz val="13"/>
      <color theme="0"/>
      <name val="Arial"/>
      <family val="2"/>
    </font>
    <font>
      <sz val="10"/>
      <name val="Segoe UI"/>
      <family val="2"/>
    </font>
    <font>
      <sz val="10"/>
      <color theme="1"/>
      <name val="Arial"/>
      <family val="2"/>
    </font>
    <font>
      <b/>
      <sz val="12"/>
      <color theme="0"/>
      <name val="Arial"/>
      <family val="2"/>
    </font>
    <font>
      <b/>
      <sz val="16"/>
      <color theme="0"/>
      <name val="Arial"/>
      <family val="2"/>
    </font>
    <font>
      <b/>
      <i/>
      <sz val="16"/>
      <color theme="0"/>
      <name val="Arial"/>
      <family val="2"/>
    </font>
    <font>
      <b/>
      <sz val="11"/>
      <name val="Calibri"/>
      <family val="2"/>
      <scheme val="minor"/>
    </font>
    <font>
      <sz val="11"/>
      <name val="Calibri"/>
      <family val="2"/>
      <scheme val="minor"/>
    </font>
    <font>
      <b/>
      <sz val="13"/>
      <color rgb="FF0070C0"/>
      <name val="Arial"/>
      <family val="2"/>
    </font>
    <font>
      <b/>
      <sz val="16"/>
      <color rgb="FFC00000"/>
      <name val="Arial"/>
      <family val="2"/>
    </font>
    <font>
      <b/>
      <sz val="14"/>
      <color rgb="FFC00000"/>
      <name val="Arial"/>
      <family val="2"/>
    </font>
    <font>
      <b/>
      <sz val="12"/>
      <color rgb="FF0070C0"/>
      <name val="Arial"/>
      <family val="2"/>
    </font>
    <font>
      <i/>
      <sz val="10"/>
      <name val="Arial"/>
      <family val="2"/>
    </font>
    <font>
      <sz val="11"/>
      <name val="Arial"/>
      <family val="2"/>
    </font>
    <font>
      <b/>
      <sz val="13"/>
      <color theme="4" tint="-0.499984740745262"/>
      <name val="Arial"/>
      <family val="2"/>
    </font>
    <font>
      <b/>
      <i/>
      <sz val="12"/>
      <color theme="4" tint="-0.499984740745262"/>
      <name val="Arial"/>
      <family val="2"/>
    </font>
    <font>
      <u/>
      <sz val="11"/>
      <color theme="10"/>
      <name val="Calibri"/>
      <family val="2"/>
    </font>
    <font>
      <b/>
      <sz val="11"/>
      <color rgb="FF0070C0"/>
      <name val="Arial"/>
      <family val="2"/>
    </font>
    <font>
      <b/>
      <sz val="11"/>
      <color theme="4" tint="-0.499984740745262"/>
      <name val="Arial"/>
      <family val="2"/>
    </font>
    <font>
      <i/>
      <sz val="10"/>
      <color theme="0"/>
      <name val="Arial"/>
      <family val="2"/>
    </font>
    <font>
      <b/>
      <sz val="14"/>
      <color theme="0"/>
      <name val="Arial"/>
      <family val="2"/>
    </font>
    <font>
      <b/>
      <i/>
      <sz val="13"/>
      <name val="Arial"/>
      <family val="2"/>
    </font>
    <font>
      <b/>
      <i/>
      <sz val="14"/>
      <name val="Arial"/>
      <family val="2"/>
    </font>
    <font>
      <sz val="14"/>
      <color rgb="FF0070C0"/>
      <name val="Arial"/>
      <family val="2"/>
    </font>
    <font>
      <b/>
      <sz val="12"/>
      <color theme="4" tint="-0.499984740745262"/>
      <name val="Arial"/>
      <family val="2"/>
    </font>
    <font>
      <sz val="12"/>
      <color theme="4" tint="-0.499984740745262"/>
      <name val="Arial"/>
      <family val="2"/>
    </font>
    <font>
      <b/>
      <sz val="13"/>
      <color rgb="FFC00000"/>
      <name val="Arial"/>
      <family val="2"/>
    </font>
    <font>
      <b/>
      <sz val="18"/>
      <color theme="0"/>
      <name val="Arial"/>
      <family val="2"/>
    </font>
    <font>
      <b/>
      <sz val="14"/>
      <color theme="4" tint="-0.499984740745262"/>
      <name val="Arial"/>
      <family val="2"/>
    </font>
    <font>
      <i/>
      <sz val="10"/>
      <color theme="4" tint="-0.499984740745262"/>
      <name val="Arial"/>
      <family val="2"/>
    </font>
    <font>
      <b/>
      <sz val="13"/>
      <color theme="4" tint="-0.249977111117893"/>
      <name val="Arial"/>
      <family val="2"/>
    </font>
    <font>
      <sz val="11"/>
      <color theme="4" tint="-0.499984740745262"/>
      <name val="Arial"/>
      <family val="2"/>
    </font>
    <font>
      <i/>
      <sz val="9"/>
      <color theme="1"/>
      <name val="Arial"/>
      <family val="2"/>
    </font>
    <font>
      <sz val="8"/>
      <name val="Calibri"/>
      <family val="2"/>
    </font>
    <font>
      <b/>
      <sz val="12"/>
      <color rgb="FFC00000"/>
      <name val="Arial"/>
      <family val="2"/>
    </font>
    <font>
      <i/>
      <sz val="9"/>
      <name val="Arial"/>
      <family val="2"/>
    </font>
    <font>
      <b/>
      <sz val="11"/>
      <name val="Arial"/>
      <family val="2"/>
    </font>
    <font>
      <sz val="11"/>
      <color theme="1"/>
      <name val="Calibri"/>
      <family val="2"/>
    </font>
    <font>
      <b/>
      <sz val="22"/>
      <color rgb="FFC00000"/>
      <name val="Calibri"/>
      <family val="2"/>
    </font>
    <font>
      <b/>
      <sz val="16"/>
      <color theme="4" tint="-0.499984740745262"/>
      <name val="Arial"/>
      <family val="2"/>
    </font>
    <font>
      <b/>
      <i/>
      <sz val="16"/>
      <color rgb="FF0070C0"/>
      <name val="Arial"/>
      <family val="2"/>
    </font>
    <font>
      <sz val="16"/>
      <color theme="4" tint="-0.499984740745262"/>
      <name val="Arial"/>
      <family val="2"/>
    </font>
    <font>
      <b/>
      <sz val="16"/>
      <color rgb="FF0070C0"/>
      <name val="Arial"/>
      <family val="2"/>
    </font>
    <font>
      <b/>
      <sz val="18"/>
      <color rgb="FFC00000"/>
      <name val="Arial"/>
      <family val="2"/>
    </font>
    <font>
      <b/>
      <i/>
      <sz val="11"/>
      <color theme="4" tint="-0.499984740745262"/>
      <name val="Arial"/>
      <family val="2"/>
    </font>
    <font>
      <b/>
      <i/>
      <sz val="18"/>
      <color theme="4" tint="-0.499984740745262"/>
      <name val="Arial"/>
      <family val="2"/>
    </font>
    <font>
      <sz val="18"/>
      <color theme="1"/>
      <name val="Arial"/>
      <family val="2"/>
    </font>
    <font>
      <b/>
      <sz val="14"/>
      <color theme="10"/>
      <name val="Arial"/>
      <family val="2"/>
    </font>
    <font>
      <b/>
      <i/>
      <sz val="14"/>
      <color rgb="FFC00000"/>
      <name val="Arial"/>
      <family val="2"/>
    </font>
    <font>
      <b/>
      <sz val="12"/>
      <color theme="1"/>
      <name val="Arial"/>
      <family val="2"/>
    </font>
    <font>
      <sz val="10"/>
      <color theme="4" tint="-0.499984740745262"/>
      <name val="Arial"/>
      <family val="2"/>
    </font>
    <font>
      <b/>
      <sz val="14"/>
      <color theme="0" tint="-0.14999847407452621"/>
      <name val="Arial"/>
      <family val="2"/>
    </font>
    <font>
      <b/>
      <i/>
      <sz val="13"/>
      <color rgb="FFC00000"/>
      <name val="Arial"/>
      <family val="2"/>
    </font>
    <font>
      <sz val="22"/>
      <color theme="4" tint="-0.499984740745262"/>
      <name val="Calibri"/>
      <family val="2"/>
    </font>
    <font>
      <b/>
      <i/>
      <sz val="16"/>
      <color rgb="FFC00000"/>
      <name val="Arial"/>
      <family val="2"/>
    </font>
    <font>
      <b/>
      <i/>
      <sz val="12"/>
      <color rgb="FFC00000"/>
      <name val="Arial"/>
      <family val="2"/>
    </font>
    <font>
      <b/>
      <sz val="11"/>
      <color theme="1"/>
      <name val="Calibri"/>
      <family val="2"/>
    </font>
    <font>
      <i/>
      <sz val="9"/>
      <color rgb="FFC00000"/>
      <name val="Arial"/>
      <family val="2"/>
    </font>
    <font>
      <b/>
      <i/>
      <sz val="10"/>
      <color theme="0"/>
      <name val="Arial"/>
      <family val="2"/>
    </font>
    <font>
      <b/>
      <sz val="11"/>
      <color theme="0"/>
      <name val="Arial"/>
      <family val="2"/>
    </font>
    <font>
      <b/>
      <sz val="20"/>
      <color theme="0"/>
      <name val="Arial"/>
      <family val="2"/>
    </font>
    <font>
      <b/>
      <sz val="9"/>
      <color theme="0"/>
      <name val="Arial"/>
      <family val="2"/>
    </font>
    <font>
      <sz val="10"/>
      <color theme="1"/>
      <name val="Arial Narrow"/>
      <family val="2"/>
    </font>
    <font>
      <i/>
      <sz val="11"/>
      <color theme="1"/>
      <name val="Arial"/>
      <family val="2"/>
    </font>
    <font>
      <i/>
      <sz val="10"/>
      <color theme="1"/>
      <name val="Arial"/>
      <family val="2"/>
    </font>
    <font>
      <b/>
      <vertAlign val="superscript"/>
      <sz val="11"/>
      <color theme="0"/>
      <name val="Arial"/>
      <family val="2"/>
    </font>
    <font>
      <b/>
      <sz val="10"/>
      <color theme="0"/>
      <name val="Arial"/>
      <family val="2"/>
    </font>
    <font>
      <b/>
      <vertAlign val="superscript"/>
      <sz val="10"/>
      <color theme="0"/>
      <name val="Arial"/>
      <family val="2"/>
    </font>
    <font>
      <b/>
      <i/>
      <sz val="10"/>
      <color rgb="FF0070C0"/>
      <name val="Arial"/>
      <family val="2"/>
    </font>
    <font>
      <b/>
      <sz val="10"/>
      <color theme="4" tint="-0.499984740745262"/>
      <name val="Arial"/>
      <family val="2"/>
    </font>
    <font>
      <b/>
      <sz val="10"/>
      <color theme="1"/>
      <name val="Arial"/>
      <family val="2"/>
    </font>
    <font>
      <b/>
      <i/>
      <sz val="10"/>
      <color theme="1"/>
      <name val="Arial"/>
      <family val="2"/>
    </font>
    <font>
      <b/>
      <i/>
      <sz val="11"/>
      <color rgb="FF0070C0"/>
      <name val="Arial"/>
      <family val="2"/>
    </font>
    <font>
      <sz val="9"/>
      <name val="Arial"/>
      <family val="2"/>
    </font>
    <font>
      <sz val="9"/>
      <color theme="1"/>
      <name val="Arial"/>
      <family val="2"/>
    </font>
    <font>
      <b/>
      <i/>
      <sz val="10"/>
      <name val="Arial"/>
      <family val="2"/>
    </font>
    <font>
      <b/>
      <sz val="10"/>
      <color rgb="FF0070C0"/>
      <name val="Arial"/>
      <family val="2"/>
    </font>
    <font>
      <sz val="10"/>
      <color theme="0"/>
      <name val="Arial"/>
      <family val="2"/>
    </font>
    <font>
      <b/>
      <i/>
      <sz val="13"/>
      <color theme="4" tint="-0.499984740745262"/>
      <name val="Arial"/>
      <family val="2"/>
    </font>
    <font>
      <sz val="12"/>
      <color rgb="FF000000"/>
      <name val="Calibri"/>
      <family val="2"/>
    </font>
    <font>
      <strike/>
      <sz val="12"/>
      <color rgb="FF000000"/>
      <name val="Calibri"/>
      <family val="2"/>
    </font>
    <font>
      <b/>
      <sz val="11"/>
      <color rgb="FFC00000"/>
      <name val="Calibri"/>
      <family val="2"/>
    </font>
    <font>
      <b/>
      <sz val="10"/>
      <color theme="0" tint="-0.249977111117893"/>
      <name val="Arial"/>
      <family val="2"/>
    </font>
    <font>
      <sz val="11"/>
      <color theme="0" tint="-0.249977111117893"/>
      <name val="Arial"/>
      <family val="2"/>
    </font>
    <font>
      <sz val="10"/>
      <color theme="0" tint="-0.249977111117893"/>
      <name val="Arial"/>
      <family val="2"/>
    </font>
    <font>
      <b/>
      <sz val="14"/>
      <color rgb="FF0070C0"/>
      <name val="Arial"/>
      <family val="2"/>
    </font>
    <font>
      <sz val="12"/>
      <color theme="4" tint="-0.499984740745262"/>
      <name val="Calibri"/>
      <family val="2"/>
    </font>
    <font>
      <b/>
      <sz val="11"/>
      <color theme="0" tint="-0.249977111117893"/>
      <name val="Arial"/>
      <family val="2"/>
    </font>
    <font>
      <b/>
      <sz val="12"/>
      <color theme="0" tint="-0.249977111117893"/>
      <name val="Arial"/>
      <family val="2"/>
    </font>
    <font>
      <sz val="10"/>
      <color theme="0" tint="-0.249977111117893"/>
      <name val="Segoe UI"/>
      <family val="2"/>
    </font>
    <font>
      <sz val="11"/>
      <color theme="0" tint="-0.249977111117893"/>
      <name val="Calibri"/>
      <family val="2"/>
    </font>
    <font>
      <sz val="18"/>
      <color theme="0" tint="-0.249977111117893"/>
      <name val="Arial"/>
      <family val="2"/>
    </font>
    <font>
      <sz val="14"/>
      <name val="Arial"/>
      <family val="2"/>
    </font>
    <font>
      <b/>
      <i/>
      <sz val="13"/>
      <color theme="4" tint="-0.499984740745262"/>
      <name val="Arial Narrow"/>
      <family val="2"/>
    </font>
    <font>
      <sz val="12"/>
      <color rgb="FF0070C0"/>
      <name val="Arial"/>
      <family val="2"/>
    </font>
    <font>
      <i/>
      <sz val="9"/>
      <color theme="0"/>
      <name val="Arial"/>
      <family val="2"/>
    </font>
    <font>
      <b/>
      <i/>
      <sz val="9"/>
      <color theme="0"/>
      <name val="Arial"/>
      <family val="2"/>
    </font>
    <font>
      <b/>
      <sz val="12"/>
      <color theme="0" tint="-0.14999847407452621"/>
      <name val="Arial"/>
      <family val="2"/>
    </font>
    <font>
      <b/>
      <sz val="10"/>
      <name val="Arial"/>
      <family val="2"/>
    </font>
    <font>
      <sz val="11"/>
      <color rgb="FF242424"/>
      <name val="Calibri"/>
      <family val="2"/>
    </font>
    <font>
      <i/>
      <sz val="11"/>
      <color theme="4" tint="-0.499984740745262"/>
      <name val="Arial"/>
      <family val="2"/>
    </font>
    <font>
      <b/>
      <i/>
      <sz val="9"/>
      <color theme="1"/>
      <name val="Arial"/>
      <family val="2"/>
    </font>
    <font>
      <b/>
      <sz val="16"/>
      <name val="Arial"/>
      <family val="2"/>
    </font>
    <font>
      <b/>
      <sz val="11"/>
      <color rgb="FFC00000"/>
      <name val="Arial"/>
      <family val="2"/>
    </font>
    <font>
      <sz val="10"/>
      <color theme="0" tint="-0.249977111117893"/>
      <name val="Calibri"/>
      <family val="2"/>
    </font>
    <font>
      <sz val="11"/>
      <color rgb="FFC00000"/>
      <name val="Calibri"/>
      <family val="2"/>
    </font>
    <font>
      <i/>
      <sz val="11"/>
      <color theme="0"/>
      <name val="Arial"/>
      <family val="2"/>
    </font>
    <font>
      <b/>
      <i/>
      <u/>
      <sz val="10"/>
      <color theme="0"/>
      <name val="Arial"/>
      <family val="2"/>
    </font>
    <font>
      <b/>
      <vertAlign val="superscript"/>
      <sz val="12"/>
      <color theme="0"/>
      <name val="Arial"/>
      <family val="2"/>
    </font>
    <font>
      <sz val="12"/>
      <color theme="0" tint="-0.249977111117893"/>
      <name val="Arial"/>
      <family val="2"/>
    </font>
    <font>
      <b/>
      <u/>
      <sz val="10"/>
      <color theme="0"/>
      <name val="Arial"/>
      <family val="2"/>
    </font>
    <font>
      <b/>
      <i/>
      <sz val="11"/>
      <color theme="1"/>
      <name val="Arial"/>
      <family val="2"/>
    </font>
    <font>
      <b/>
      <i/>
      <sz val="11"/>
      <name val="Arial"/>
      <family val="2"/>
    </font>
    <font>
      <b/>
      <i/>
      <u/>
      <sz val="13"/>
      <color theme="4" tint="-0.499984740745262"/>
      <name val="Arial"/>
      <family val="2"/>
    </font>
    <font>
      <b/>
      <u/>
      <sz val="11"/>
      <color theme="0"/>
      <name val="Arial"/>
      <family val="2"/>
    </font>
    <font>
      <b/>
      <i/>
      <sz val="12"/>
      <color rgb="FF0070C0"/>
      <name val="Calibri"/>
      <family val="2"/>
    </font>
    <font>
      <b/>
      <i/>
      <sz val="9"/>
      <name val="Arial"/>
      <family val="2"/>
    </font>
    <font>
      <b/>
      <sz val="9"/>
      <name val="Arial"/>
      <family val="2"/>
    </font>
    <font>
      <b/>
      <i/>
      <sz val="10"/>
      <color theme="4" tint="-0.499984740745262"/>
      <name val="Arial"/>
      <family val="2"/>
    </font>
    <font>
      <strike/>
      <sz val="11"/>
      <color theme="1"/>
      <name val="Arial"/>
      <family val="2"/>
    </font>
    <font>
      <b/>
      <u/>
      <sz val="10"/>
      <color theme="4" tint="-0.499984740745262"/>
      <name val="Arial"/>
      <family val="2"/>
    </font>
    <font>
      <b/>
      <vertAlign val="superscript"/>
      <sz val="10"/>
      <name val="Arial"/>
      <family val="2"/>
    </font>
    <font>
      <b/>
      <i/>
      <sz val="16"/>
      <color theme="4" tint="-0.499984740745262"/>
      <name val="Arial"/>
      <family val="2"/>
    </font>
    <font>
      <sz val="13"/>
      <name val="Arial"/>
      <family val="2"/>
    </font>
    <font>
      <sz val="9"/>
      <color theme="0" tint="-0.249977111117893"/>
      <name val="Arial"/>
      <family val="2"/>
    </font>
    <font>
      <sz val="14"/>
      <color theme="1"/>
      <name val="Arial"/>
      <family val="2"/>
    </font>
    <font>
      <b/>
      <sz val="12"/>
      <color rgb="FF0070C0"/>
      <name val="Calibri"/>
      <family val="2"/>
    </font>
    <font>
      <b/>
      <i/>
      <sz val="12"/>
      <name val="Arial"/>
      <family val="2"/>
    </font>
    <font>
      <b/>
      <sz val="18"/>
      <color theme="4" tint="-0.499984740745262"/>
      <name val="Arial"/>
      <family val="2"/>
    </font>
    <font>
      <b/>
      <sz val="14"/>
      <name val="Arial"/>
      <family val="2"/>
    </font>
    <font>
      <b/>
      <i/>
      <vertAlign val="superscript"/>
      <sz val="10"/>
      <color theme="4" tint="-0.499984740745262"/>
      <name val="Arial"/>
      <family val="2"/>
    </font>
    <font>
      <vertAlign val="superscript"/>
      <sz val="10"/>
      <name val="Arial"/>
      <family val="2"/>
    </font>
    <font>
      <u/>
      <sz val="11"/>
      <color theme="10"/>
      <name val="Arial"/>
      <family val="2"/>
    </font>
    <font>
      <sz val="16"/>
      <color theme="1"/>
      <name val="Arial"/>
      <family val="2"/>
    </font>
    <font>
      <b/>
      <sz val="20"/>
      <color rgb="FFC00000"/>
      <name val="Arial"/>
      <family val="2"/>
    </font>
    <font>
      <b/>
      <sz val="22"/>
      <color rgb="FFC00000"/>
      <name val="Arial"/>
      <family val="2"/>
    </font>
    <font>
      <vertAlign val="superscript"/>
      <sz val="11"/>
      <color theme="1"/>
      <name val="Calibri"/>
      <family val="2"/>
    </font>
    <font>
      <b/>
      <i/>
      <sz val="12"/>
      <color rgb="FF0070C0"/>
      <name val="Arial"/>
      <family val="2"/>
    </font>
    <font>
      <sz val="11"/>
      <color theme="4" tint="-0.499984740745262"/>
      <name val="Calibri"/>
      <family val="2"/>
    </font>
    <font>
      <u/>
      <sz val="14"/>
      <color theme="10"/>
      <name val="Arial"/>
      <family val="2"/>
    </font>
    <font>
      <sz val="14"/>
      <color theme="4" tint="-0.499984740745262"/>
      <name val="Arial"/>
      <family val="2"/>
    </font>
    <font>
      <sz val="13"/>
      <color theme="4" tint="-0.499984740745262"/>
      <name val="Arial"/>
      <family val="2"/>
    </font>
    <font>
      <b/>
      <i/>
      <sz val="16"/>
      <name val="Arial"/>
      <family val="2"/>
    </font>
    <font>
      <b/>
      <i/>
      <sz val="14"/>
      <color rgb="FF0070C0"/>
      <name val="Arial"/>
      <family val="2"/>
    </font>
    <font>
      <b/>
      <i/>
      <sz val="13"/>
      <color rgb="FF0070C0"/>
      <name val="Arial"/>
      <family val="2"/>
    </font>
    <font>
      <b/>
      <u/>
      <sz val="13"/>
      <color theme="4" tint="-0.499984740745262"/>
      <name val="Arial"/>
      <family val="2"/>
    </font>
    <font>
      <b/>
      <i/>
      <sz val="13"/>
      <color theme="10"/>
      <name val="Arial"/>
      <family val="2"/>
    </font>
    <font>
      <sz val="10"/>
      <color rgb="FF003297"/>
      <name val="Verdana"/>
      <family val="2"/>
    </font>
    <font>
      <b/>
      <i/>
      <u/>
      <sz val="13"/>
      <color rgb="FF0070C0"/>
      <name val="Arial"/>
      <family val="2"/>
    </font>
    <font>
      <b/>
      <i/>
      <u/>
      <sz val="13"/>
      <color theme="10"/>
      <name val="Arial"/>
      <family val="2"/>
    </font>
    <font>
      <b/>
      <u/>
      <sz val="16"/>
      <color rgb="FFC00000"/>
      <name val="Arial"/>
      <family val="2"/>
    </font>
    <font>
      <b/>
      <sz val="20"/>
      <name val="Arial"/>
      <family val="2"/>
    </font>
    <font>
      <b/>
      <sz val="11"/>
      <color theme="4" tint="-0.499984740745262"/>
      <name val="Calibri"/>
      <family val="2"/>
    </font>
    <font>
      <b/>
      <sz val="12"/>
      <color theme="4" tint="-0.499984740745262"/>
      <name val="Calibri"/>
      <family val="2"/>
    </font>
    <font>
      <sz val="11"/>
      <color theme="0"/>
      <name val="Arial"/>
      <family val="2"/>
    </font>
  </fonts>
  <fills count="16">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E3E9F5"/>
        <bgColor indexed="64"/>
      </patternFill>
    </fill>
    <fill>
      <patternFill patternType="solid">
        <fgColor rgb="FF00B0F0"/>
        <bgColor indexed="64"/>
      </patternFill>
    </fill>
    <fill>
      <patternFill patternType="solid">
        <fgColor rgb="FFE1F7FF"/>
        <bgColor indexed="64"/>
      </patternFill>
    </fill>
    <fill>
      <patternFill patternType="solid">
        <fgColor theme="0" tint="-0.14999847407452621"/>
        <bgColor indexed="64"/>
      </patternFill>
    </fill>
    <fill>
      <patternFill patternType="solid">
        <fgColor theme="1" tint="0.34998626667073579"/>
        <bgColor theme="4" tint="0.39988402966399123"/>
      </patternFill>
    </fill>
    <fill>
      <patternFill patternType="solid">
        <fgColor theme="4" tint="0.79998168889431442"/>
        <bgColor indexed="64"/>
      </patternFill>
    </fill>
    <fill>
      <patternFill patternType="solid">
        <fgColor theme="4" tint="-0.249977111117893"/>
        <bgColor theme="4" tint="0.39991454817346722"/>
      </patternFill>
    </fill>
    <fill>
      <patternFill patternType="solid">
        <fgColor theme="1" tint="0.34998626667073579"/>
        <bgColor indexed="64"/>
      </patternFill>
    </fill>
    <fill>
      <patternFill patternType="solid">
        <fgColor rgb="FFFFFFCC"/>
        <bgColor indexed="64"/>
      </patternFill>
    </fill>
    <fill>
      <patternFill patternType="solid">
        <fgColor theme="3" tint="0.79998168889431442"/>
        <bgColor indexed="64"/>
      </patternFill>
    </fill>
    <fill>
      <patternFill patternType="solid">
        <fgColor rgb="FF00B0F0"/>
        <bgColor theme="4" tint="0.39988402966399123"/>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C00000"/>
      </top>
      <bottom style="medium">
        <color rgb="FFC00000"/>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7" fillId="0" borderId="0" applyNumberFormat="0" applyFill="0" applyBorder="0" applyAlignment="0" applyProtection="0"/>
    <xf numFmtId="9" fontId="48" fillId="0" borderId="0" applyFont="0" applyFill="0" applyBorder="0" applyAlignment="0" applyProtection="0"/>
    <xf numFmtId="44" fontId="48" fillId="0" borderId="0" applyFont="0" applyFill="0" applyBorder="0" applyAlignment="0" applyProtection="0"/>
  </cellStyleXfs>
  <cellXfs count="1237">
    <xf numFmtId="0" fontId="0" fillId="0" borderId="0" xfId="0"/>
    <xf numFmtId="0" fontId="5" fillId="0" borderId="0" xfId="0" applyFont="1"/>
    <xf numFmtId="0" fontId="5" fillId="0" borderId="0" xfId="0" applyFont="1" applyAlignment="1">
      <alignment horizontal="center"/>
    </xf>
    <xf numFmtId="0" fontId="7" fillId="0" borderId="0" xfId="0" applyFont="1" applyAlignment="1">
      <alignment horizontal="center"/>
    </xf>
    <xf numFmtId="0" fontId="7" fillId="0" borderId="0" xfId="0" applyFont="1"/>
    <xf numFmtId="0" fontId="17" fillId="0" borderId="0" xfId="0" applyFont="1" applyAlignment="1">
      <alignment horizontal="center"/>
    </xf>
    <xf numFmtId="0" fontId="18" fillId="0" borderId="0" xfId="0" applyFont="1" applyAlignment="1">
      <alignment horizontal="center"/>
    </xf>
    <xf numFmtId="0" fontId="0" fillId="0" borderId="0" xfId="0" applyAlignment="1">
      <alignment vertical="center" wrapText="1"/>
    </xf>
    <xf numFmtId="0" fontId="56" fillId="0" borderId="21" xfId="1" applyFont="1" applyFill="1" applyBorder="1" applyAlignment="1" applyProtection="1">
      <alignment horizontal="center"/>
    </xf>
    <xf numFmtId="0" fontId="22" fillId="0" borderId="13" xfId="1" applyFont="1" applyFill="1" applyBorder="1" applyAlignment="1" applyProtection="1">
      <alignment horizontal="left" vertical="center"/>
    </xf>
    <xf numFmtId="171" fontId="4" fillId="0" borderId="1" xfId="0" applyNumberFormat="1" applyFont="1" applyBorder="1" applyAlignment="1" applyProtection="1">
      <alignment horizontal="right" vertical="center"/>
      <protection locked="0"/>
    </xf>
    <xf numFmtId="0" fontId="67" fillId="0" borderId="0" xfId="0" applyFont="1"/>
    <xf numFmtId="0" fontId="0" fillId="0" borderId="0" xfId="0" applyAlignment="1">
      <alignment horizontal="center"/>
    </xf>
    <xf numFmtId="0" fontId="61" fillId="0" borderId="4" xfId="0" applyFont="1" applyBorder="1" applyAlignment="1" applyProtection="1">
      <alignment vertical="center" wrapText="1"/>
      <protection locked="0"/>
    </xf>
    <xf numFmtId="0" fontId="61" fillId="0" borderId="4" xfId="0" applyFont="1" applyBorder="1" applyAlignment="1" applyProtection="1">
      <alignment horizontal="center" vertical="center" wrapText="1"/>
      <protection locked="0"/>
    </xf>
    <xf numFmtId="3" fontId="3" fillId="0" borderId="4" xfId="0" applyNumberFormat="1" applyFont="1" applyBorder="1" applyAlignment="1" applyProtection="1">
      <alignment horizontal="center" vertical="center"/>
      <protection locked="0"/>
    </xf>
    <xf numFmtId="3" fontId="3" fillId="7" borderId="4"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85" fillId="0" borderId="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3" fontId="13" fillId="0" borderId="5" xfId="0" applyNumberFormat="1" applyFont="1" applyBorder="1" applyAlignment="1" applyProtection="1">
      <alignment horizontal="left" vertical="center" wrapText="1"/>
      <protection locked="0"/>
    </xf>
    <xf numFmtId="3" fontId="61" fillId="0" borderId="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42" fontId="3" fillId="7" borderId="4" xfId="0" applyNumberFormat="1" applyFont="1" applyFill="1" applyBorder="1" applyAlignment="1" applyProtection="1">
      <alignment horizontal="right" vertical="center"/>
      <protection locked="0"/>
    </xf>
    <xf numFmtId="42" fontId="3" fillId="0" borderId="4" xfId="0" applyNumberFormat="1" applyFont="1" applyBorder="1" applyAlignment="1" applyProtection="1">
      <alignment horizontal="right" vertical="center"/>
      <protection locked="0"/>
    </xf>
    <xf numFmtId="42" fontId="3" fillId="7" borderId="20" xfId="0" applyNumberFormat="1" applyFont="1" applyFill="1" applyBorder="1" applyAlignment="1" applyProtection="1">
      <alignment horizontal="right" vertical="center"/>
      <protection locked="0"/>
    </xf>
    <xf numFmtId="42" fontId="3" fillId="0" borderId="20" xfId="0" applyNumberFormat="1" applyFont="1" applyBorder="1" applyAlignment="1" applyProtection="1">
      <alignment horizontal="right" vertical="center"/>
      <protection locked="0"/>
    </xf>
    <xf numFmtId="42" fontId="61" fillId="0" borderId="4" xfId="0" applyNumberFormat="1" applyFont="1" applyBorder="1" applyAlignment="1" applyProtection="1">
      <alignment vertical="center" wrapText="1"/>
      <protection locked="0"/>
    </xf>
    <xf numFmtId="0" fontId="61" fillId="0" borderId="4" xfId="0" applyFont="1" applyBorder="1" applyAlignment="1" applyProtection="1">
      <alignment horizontal="left" vertical="center" wrapText="1"/>
      <protection locked="0"/>
    </xf>
    <xf numFmtId="0" fontId="61" fillId="0" borderId="5" xfId="0" applyFont="1" applyBorder="1" applyAlignment="1" applyProtection="1">
      <alignment horizontal="left" vertical="center" wrapText="1"/>
      <protection locked="0"/>
    </xf>
    <xf numFmtId="0" fontId="0" fillId="0" borderId="0" xfId="0" pivotButton="1"/>
    <xf numFmtId="0" fontId="110" fillId="0" borderId="0" xfId="0" applyFont="1" applyAlignment="1">
      <alignment horizontal="left" vertical="center"/>
    </xf>
    <xf numFmtId="0" fontId="3" fillId="7" borderId="4" xfId="0" applyFont="1" applyFill="1" applyBorder="1" applyAlignment="1" applyProtection="1">
      <alignment vertical="center" wrapText="1"/>
      <protection locked="0"/>
    </xf>
    <xf numFmtId="0" fontId="3" fillId="7" borderId="4" xfId="0" applyFont="1" applyFill="1" applyBorder="1" applyAlignment="1" applyProtection="1">
      <alignment horizontal="center" vertical="center"/>
      <protection locked="0"/>
    </xf>
    <xf numFmtId="0" fontId="3" fillId="7" borderId="4" xfId="0" applyFont="1" applyFill="1" applyBorder="1" applyAlignment="1" applyProtection="1">
      <alignment horizontal="left" vertical="center" wrapText="1"/>
      <protection locked="0"/>
    </xf>
    <xf numFmtId="42"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center" vertical="center" wrapText="1"/>
      <protection locked="0"/>
    </xf>
    <xf numFmtId="166" fontId="116" fillId="0" borderId="0" xfId="1" applyNumberFormat="1" applyFont="1" applyFill="1" applyAlignment="1" applyProtection="1">
      <alignment horizontal="center" vertical="center"/>
    </xf>
    <xf numFmtId="3" fontId="3" fillId="0" borderId="37" xfId="0" applyNumberFormat="1"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3" fontId="3" fillId="0" borderId="39" xfId="0" applyNumberFormat="1" applyFont="1" applyBorder="1" applyAlignment="1" applyProtection="1">
      <alignment horizontal="center" vertical="center"/>
      <protection locked="0"/>
    </xf>
    <xf numFmtId="3" fontId="3" fillId="0" borderId="40" xfId="0" applyNumberFormat="1" applyFont="1" applyBorder="1" applyAlignment="1" applyProtection="1">
      <alignment horizontal="center" vertical="center"/>
      <protection locked="0"/>
    </xf>
    <xf numFmtId="3" fontId="3" fillId="7" borderId="40" xfId="0" applyNumberFormat="1" applyFont="1" applyFill="1" applyBorder="1" applyAlignment="1" applyProtection="1">
      <alignment horizontal="center" vertical="center"/>
      <protection locked="0"/>
    </xf>
    <xf numFmtId="166" fontId="116" fillId="0" borderId="0" xfId="1" applyNumberFormat="1" applyFont="1" applyFill="1" applyAlignment="1" applyProtection="1">
      <alignment vertical="center"/>
    </xf>
    <xf numFmtId="0" fontId="22" fillId="0" borderId="0" xfId="1" applyFont="1" applyAlignment="1" applyProtection="1">
      <alignment vertical="center" wrapText="1"/>
    </xf>
    <xf numFmtId="166" fontId="92" fillId="0" borderId="0" xfId="1" applyNumberFormat="1" applyFont="1" applyFill="1" applyAlignment="1" applyProtection="1">
      <alignment horizontal="center" vertical="center"/>
    </xf>
    <xf numFmtId="1" fontId="85" fillId="0" borderId="4" xfId="0" applyNumberFormat="1" applyFont="1" applyBorder="1" applyAlignment="1" applyProtection="1">
      <alignment horizontal="center" vertical="center"/>
      <protection locked="0"/>
    </xf>
    <xf numFmtId="167" fontId="85" fillId="0" borderId="4" xfId="0" applyNumberFormat="1" applyFont="1" applyBorder="1" applyAlignment="1" applyProtection="1">
      <alignment horizontal="center" vertical="center"/>
      <protection locked="0"/>
    </xf>
    <xf numFmtId="167"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164" fontId="3" fillId="5" borderId="0" xfId="0" applyNumberFormat="1" applyFont="1" applyFill="1" applyAlignment="1" applyProtection="1">
      <alignment horizontal="center" vertical="center" wrapText="1"/>
      <protection locked="0"/>
    </xf>
    <xf numFmtId="9" fontId="3" fillId="5" borderId="0" xfId="0" applyNumberFormat="1" applyFont="1" applyFill="1" applyAlignment="1" applyProtection="1">
      <alignment horizontal="center" vertical="center"/>
      <protection locked="0"/>
    </xf>
    <xf numFmtId="0" fontId="3" fillId="0" borderId="4" xfId="0" applyFont="1" applyBorder="1" applyAlignment="1" applyProtection="1">
      <alignment horizontal="center" vertical="center"/>
      <protection locked="0"/>
    </xf>
    <xf numFmtId="42" fontId="24" fillId="0" borderId="4" xfId="0" applyNumberFormat="1" applyFont="1" applyBorder="1" applyAlignment="1" applyProtection="1">
      <alignment horizontal="right" vertical="center"/>
      <protection locked="0"/>
    </xf>
    <xf numFmtId="0" fontId="61" fillId="5" borderId="0" xfId="0" applyFont="1" applyFill="1" applyAlignment="1" applyProtection="1">
      <alignment vertical="center" wrapText="1"/>
      <protection locked="0"/>
    </xf>
    <xf numFmtId="0" fontId="61" fillId="5" borderId="17" xfId="0" applyFont="1" applyFill="1" applyBorder="1" applyAlignment="1" applyProtection="1">
      <alignment vertical="center" wrapText="1"/>
      <protection locked="0"/>
    </xf>
    <xf numFmtId="0" fontId="61" fillId="5" borderId="0" xfId="0" applyFont="1" applyFill="1" applyAlignment="1" applyProtection="1">
      <alignment horizontal="center" vertical="center" wrapText="1"/>
      <protection locked="0"/>
    </xf>
    <xf numFmtId="0" fontId="46" fillId="0" borderId="3" xfId="0" applyFont="1" applyBorder="1" applyAlignment="1" applyProtection="1">
      <alignment horizontal="left" vertical="center" wrapText="1"/>
      <protection locked="0"/>
    </xf>
    <xf numFmtId="0" fontId="42" fillId="0" borderId="0" xfId="0" applyFont="1"/>
    <xf numFmtId="164" fontId="3" fillId="0" borderId="4" xfId="0" applyNumberFormat="1" applyFont="1" applyBorder="1" applyAlignment="1" applyProtection="1">
      <alignment horizontal="center" vertical="center" wrapText="1"/>
      <protection locked="0"/>
    </xf>
    <xf numFmtId="42" fontId="3" fillId="0" borderId="4" xfId="0" applyNumberFormat="1" applyFont="1" applyBorder="1" applyAlignment="1" applyProtection="1">
      <alignment horizontal="center" vertical="center"/>
      <protection locked="0"/>
    </xf>
    <xf numFmtId="0" fontId="5" fillId="0" borderId="0" xfId="0" applyFont="1" applyAlignment="1">
      <alignment vertical="center"/>
    </xf>
    <xf numFmtId="0" fontId="27" fillId="0" borderId="0" xfId="1" applyProtection="1"/>
    <xf numFmtId="44" fontId="5" fillId="0" borderId="0" xfId="3" applyFont="1" applyProtection="1"/>
    <xf numFmtId="166" fontId="3" fillId="0" borderId="5" xfId="0" applyNumberFormat="1" applyFont="1" applyBorder="1" applyAlignment="1" applyProtection="1">
      <alignment horizontal="left" vertical="center" wrapText="1"/>
      <protection locked="0"/>
    </xf>
    <xf numFmtId="0" fontId="61" fillId="0" borderId="38" xfId="0" applyFont="1" applyBorder="1" applyAlignment="1" applyProtection="1">
      <alignment horizontal="center" vertical="center" wrapText="1"/>
      <protection locked="0"/>
    </xf>
    <xf numFmtId="42" fontId="61" fillId="0" borderId="37" xfId="0" applyNumberFormat="1" applyFont="1" applyBorder="1" applyAlignment="1" applyProtection="1">
      <alignment vertical="center"/>
      <protection locked="0"/>
    </xf>
    <xf numFmtId="0" fontId="24" fillId="0" borderId="0" xfId="0" applyFont="1"/>
    <xf numFmtId="0" fontId="3" fillId="0" borderId="4" xfId="0" quotePrefix="1" applyFont="1" applyBorder="1" applyAlignment="1" applyProtection="1">
      <alignment horizontal="center" vertical="center"/>
      <protection locked="0"/>
    </xf>
    <xf numFmtId="172" fontId="61" fillId="0" borderId="37" xfId="0" applyNumberFormat="1" applyFont="1" applyBorder="1" applyAlignment="1" applyProtection="1">
      <alignment horizontal="left" vertical="center" wrapText="1"/>
      <protection locked="0"/>
    </xf>
    <xf numFmtId="0" fontId="136" fillId="0" borderId="0" xfId="0" applyFont="1" applyAlignment="1">
      <alignment vertical="center"/>
    </xf>
    <xf numFmtId="0" fontId="55" fillId="0" borderId="0" xfId="0" applyFont="1" applyAlignment="1">
      <alignment horizontal="center" vertical="center" wrapText="1"/>
    </xf>
    <xf numFmtId="0" fontId="31" fillId="0" borderId="0" xfId="0" applyFont="1" applyAlignment="1">
      <alignment horizontal="center" vertical="center"/>
    </xf>
    <xf numFmtId="0" fontId="5" fillId="0" borderId="6" xfId="0" applyFont="1" applyBorder="1" applyAlignment="1">
      <alignment vertical="center"/>
    </xf>
    <xf numFmtId="42" fontId="5" fillId="0" borderId="25" xfId="0" applyNumberFormat="1" applyFont="1" applyBorder="1" applyAlignment="1">
      <alignment vertical="center"/>
    </xf>
    <xf numFmtId="42" fontId="5" fillId="0" borderId="0" xfId="0" applyNumberFormat="1" applyFont="1" applyAlignment="1">
      <alignment vertical="center"/>
    </xf>
    <xf numFmtId="0" fontId="5" fillId="0" borderId="25"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42" fontId="5" fillId="0" borderId="24" xfId="0" applyNumberFormat="1" applyFont="1" applyBorder="1" applyAlignment="1">
      <alignment vertical="center"/>
    </xf>
    <xf numFmtId="0" fontId="67" fillId="14" borderId="0" xfId="0" applyFont="1" applyFill="1" applyAlignment="1">
      <alignment horizontal="center"/>
    </xf>
    <xf numFmtId="0" fontId="67" fillId="14" borderId="0" xfId="0" applyFont="1" applyFill="1" applyAlignment="1">
      <alignment horizontal="left"/>
    </xf>
    <xf numFmtId="164" fontId="67" fillId="14" borderId="0" xfId="0" applyNumberFormat="1" applyFont="1" applyFill="1" applyAlignment="1">
      <alignment horizontal="left"/>
    </xf>
    <xf numFmtId="164" fontId="67" fillId="14" borderId="0" xfId="0" applyNumberFormat="1" applyFont="1" applyFill="1" applyAlignment="1">
      <alignment horizontal="center"/>
    </xf>
    <xf numFmtId="0" fontId="67" fillId="14" borderId="0" xfId="0" applyFont="1" applyFill="1"/>
    <xf numFmtId="0" fontId="0" fillId="0" borderId="0" xfId="0" applyAlignment="1">
      <alignment horizontal="left" vertical="center" wrapText="1"/>
    </xf>
    <xf numFmtId="0" fontId="0" fillId="0" borderId="0" xfId="0" applyAlignment="1">
      <alignment horizontal="left"/>
    </xf>
    <xf numFmtId="0" fontId="91" fillId="0" borderId="0" xfId="0" applyFont="1" applyAlignment="1">
      <alignment horizontal="left" vertical="center" indent="1"/>
    </xf>
    <xf numFmtId="164" fontId="0" fillId="0" borderId="0" xfId="0" applyNumberFormat="1" applyAlignment="1">
      <alignment horizontal="center"/>
    </xf>
    <xf numFmtId="0" fontId="90" fillId="0" borderId="0" xfId="0" applyFont="1" applyAlignment="1">
      <alignment horizontal="left" vertical="center" indent="1"/>
    </xf>
    <xf numFmtId="0" fontId="90" fillId="0" borderId="0" xfId="0" applyFont="1" applyAlignment="1">
      <alignment horizontal="left" vertical="center" indent="2"/>
    </xf>
    <xf numFmtId="0" fontId="0" fillId="0" borderId="0" xfId="0" applyAlignment="1">
      <alignment horizontal="center" vertical="center" wrapText="1"/>
    </xf>
    <xf numFmtId="164" fontId="0" fillId="0" borderId="0" xfId="0" applyNumberFormat="1" applyAlignment="1">
      <alignment horizontal="center" vertical="center" wrapText="1"/>
    </xf>
    <xf numFmtId="177" fontId="3" fillId="0" borderId="4" xfId="0" applyNumberFormat="1" applyFont="1" applyBorder="1" applyAlignment="1" applyProtection="1">
      <alignment horizontal="center" vertical="center" wrapText="1"/>
      <protection locked="0"/>
    </xf>
    <xf numFmtId="0" fontId="143" fillId="0" borderId="0" xfId="1" applyFont="1" applyAlignment="1" applyProtection="1">
      <alignment vertical="center"/>
    </xf>
    <xf numFmtId="0" fontId="150" fillId="0" borderId="0" xfId="1" applyFont="1" applyAlignment="1" applyProtection="1">
      <alignment vertical="center"/>
    </xf>
    <xf numFmtId="9" fontId="75" fillId="0" borderId="0" xfId="2" applyFont="1" applyAlignment="1" applyProtection="1">
      <alignment horizontal="center" vertical="top"/>
    </xf>
    <xf numFmtId="37" fontId="3" fillId="0" borderId="5" xfId="0" applyNumberFormat="1" applyFont="1" applyBorder="1" applyAlignment="1" applyProtection="1">
      <alignment horizontal="center" vertical="center" wrapText="1"/>
      <protection locked="0"/>
    </xf>
    <xf numFmtId="0" fontId="27" fillId="0" borderId="0" xfId="1" applyAlignment="1" applyProtection="1">
      <alignment vertical="center"/>
    </xf>
    <xf numFmtId="44" fontId="129" fillId="0" borderId="0" xfId="3" applyFont="1" applyAlignment="1">
      <alignment vertical="center" wrapText="1"/>
    </xf>
    <xf numFmtId="0" fontId="129" fillId="0" borderId="0" xfId="0" applyFont="1" applyAlignment="1">
      <alignment horizontal="center" vertical="center" wrapText="1"/>
    </xf>
    <xf numFmtId="0" fontId="158" fillId="0" borderId="0" xfId="0" applyFont="1"/>
    <xf numFmtId="0" fontId="96" fillId="0" borderId="0" xfId="0" applyFont="1" applyAlignment="1">
      <alignment horizontal="center" vertical="center"/>
    </xf>
    <xf numFmtId="0" fontId="25" fillId="0" borderId="0" xfId="0" applyFont="1" applyAlignment="1">
      <alignment horizontal="right" vertical="center" wrapText="1"/>
    </xf>
    <xf numFmtId="0" fontId="8" fillId="0" borderId="0" xfId="0" applyFont="1" applyAlignment="1">
      <alignment vertical="center"/>
    </xf>
    <xf numFmtId="0" fontId="6" fillId="0" borderId="0" xfId="0" applyFont="1" applyAlignment="1">
      <alignment vertical="center"/>
    </xf>
    <xf numFmtId="0" fontId="19"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25" fillId="0" borderId="0" xfId="0" applyFont="1" applyAlignment="1">
      <alignment horizontal="right" vertical="center"/>
    </xf>
    <xf numFmtId="0" fontId="5" fillId="0" borderId="7"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4" fillId="0" borderId="8"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2" fillId="0" borderId="0" xfId="0" applyFont="1"/>
    <xf numFmtId="0" fontId="5" fillId="0" borderId="10"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13" fillId="0" borderId="5"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2" fillId="5" borderId="17" xfId="0" applyFont="1" applyFill="1" applyBorder="1" applyAlignment="1">
      <alignment horizontal="right" vertical="center"/>
    </xf>
    <xf numFmtId="0" fontId="5" fillId="0" borderId="11" xfId="0" applyFont="1" applyBorder="1" applyAlignment="1">
      <alignment horizontal="right" vertical="center"/>
    </xf>
    <xf numFmtId="0" fontId="22" fillId="5" borderId="6" xfId="0" applyFont="1" applyFill="1" applyBorder="1" applyAlignment="1">
      <alignment vertical="center"/>
    </xf>
    <xf numFmtId="0" fontId="22" fillId="5" borderId="0" xfId="0" applyFont="1" applyFill="1" applyAlignment="1">
      <alignment vertical="center"/>
    </xf>
    <xf numFmtId="0" fontId="24" fillId="5" borderId="0" xfId="0" applyFont="1" applyFill="1" applyAlignment="1">
      <alignment horizontal="left" vertical="center" wrapText="1"/>
    </xf>
    <xf numFmtId="0" fontId="24" fillId="5" borderId="25" xfId="0" applyFont="1" applyFill="1" applyBorder="1" applyAlignment="1">
      <alignment horizontal="left" vertical="center" wrapText="1"/>
    </xf>
    <xf numFmtId="0" fontId="24" fillId="5" borderId="1" xfId="0" applyFont="1" applyFill="1" applyBorder="1" applyAlignment="1">
      <alignment vertical="center"/>
    </xf>
    <xf numFmtId="0" fontId="4" fillId="5" borderId="1" xfId="0" applyFont="1" applyFill="1" applyBorder="1" applyAlignment="1">
      <alignment horizontal="right" vertical="center"/>
    </xf>
    <xf numFmtId="0" fontId="22" fillId="5" borderId="1" xfId="0" applyFont="1" applyFill="1" applyBorder="1" applyAlignment="1">
      <alignment horizontal="right" vertical="center"/>
    </xf>
    <xf numFmtId="0" fontId="24" fillId="5" borderId="1" xfId="0" applyFont="1" applyFill="1" applyBorder="1" applyAlignment="1">
      <alignment horizontal="left" vertical="center"/>
    </xf>
    <xf numFmtId="0" fontId="5" fillId="5" borderId="24" xfId="0" applyFont="1" applyFill="1" applyBorder="1" applyAlignment="1">
      <alignment vertical="center"/>
    </xf>
    <xf numFmtId="0" fontId="4" fillId="0" borderId="0" xfId="0" applyFont="1"/>
    <xf numFmtId="0" fontId="4" fillId="0" borderId="0" xfId="0" applyFont="1" applyAlignment="1">
      <alignment horizontal="right"/>
    </xf>
    <xf numFmtId="0" fontId="4" fillId="0" borderId="0" xfId="0" applyFont="1" applyAlignment="1">
      <alignment horizontal="left" vertical="center"/>
    </xf>
    <xf numFmtId="0" fontId="24" fillId="5" borderId="1" xfId="0" applyFont="1" applyFill="1" applyBorder="1" applyAlignment="1">
      <alignment horizontal="left" vertical="center" wrapText="1"/>
    </xf>
    <xf numFmtId="0" fontId="13" fillId="10" borderId="4" xfId="0" applyFont="1" applyFill="1" applyBorder="1" applyAlignment="1">
      <alignment horizontal="center" vertical="center"/>
    </xf>
    <xf numFmtId="1" fontId="5" fillId="0" borderId="0" xfId="0" applyNumberFormat="1" applyFont="1" applyAlignment="1">
      <alignment vertical="center"/>
    </xf>
    <xf numFmtId="0" fontId="13" fillId="0" borderId="26" xfId="0" applyFont="1" applyBorder="1" applyAlignment="1">
      <alignment horizontal="center" vertical="center"/>
    </xf>
    <xf numFmtId="0" fontId="85" fillId="10" borderId="4" xfId="0" applyFont="1" applyFill="1" applyBorder="1" applyAlignment="1">
      <alignment horizontal="center" vertical="center" wrapText="1"/>
    </xf>
    <xf numFmtId="167" fontId="5" fillId="0" borderId="0" xfId="0" applyNumberFormat="1" applyFont="1" applyAlignment="1">
      <alignment horizontal="center" vertical="center"/>
    </xf>
    <xf numFmtId="164" fontId="13" fillId="10" borderId="4" xfId="0" applyNumberFormat="1" applyFont="1" applyFill="1" applyBorder="1" applyAlignment="1">
      <alignment horizontal="center" vertical="center"/>
    </xf>
    <xf numFmtId="0" fontId="130" fillId="0" borderId="0" xfId="0" applyFont="1" applyAlignment="1">
      <alignment vertical="center"/>
    </xf>
    <xf numFmtId="0" fontId="22" fillId="5" borderId="23" xfId="0" applyFont="1" applyFill="1" applyBorder="1" applyAlignment="1">
      <alignment horizontal="left" vertical="center" wrapText="1"/>
    </xf>
    <xf numFmtId="0" fontId="22" fillId="5" borderId="17" xfId="0" applyFont="1" applyFill="1" applyBorder="1" applyAlignment="1">
      <alignment horizontal="left" vertical="center" wrapText="1"/>
    </xf>
    <xf numFmtId="171" fontId="3" fillId="5" borderId="17" xfId="0" applyNumberFormat="1" applyFont="1" applyFill="1" applyBorder="1" applyAlignment="1">
      <alignment horizontal="left" vertical="center" wrapText="1"/>
    </xf>
    <xf numFmtId="0" fontId="3" fillId="5" borderId="17" xfId="0" applyFont="1" applyFill="1" applyBorder="1" applyAlignment="1">
      <alignment vertical="center" wrapText="1"/>
    </xf>
    <xf numFmtId="0" fontId="3" fillId="5" borderId="18" xfId="0" applyFont="1" applyFill="1" applyBorder="1" applyAlignment="1">
      <alignment vertical="center" wrapText="1"/>
    </xf>
    <xf numFmtId="0" fontId="22" fillId="5" borderId="6" xfId="0" applyFont="1" applyFill="1" applyBorder="1" applyAlignment="1">
      <alignment horizontal="left" vertical="center" wrapText="1"/>
    </xf>
    <xf numFmtId="0" fontId="22" fillId="5" borderId="0" xfId="0" applyFont="1" applyFill="1" applyAlignment="1">
      <alignment horizontal="left" vertical="center" wrapText="1"/>
    </xf>
    <xf numFmtId="0" fontId="3" fillId="5" borderId="0" xfId="0" applyFont="1" applyFill="1" applyAlignment="1">
      <alignment horizontal="left" vertical="center" wrapText="1"/>
    </xf>
    <xf numFmtId="0" fontId="3" fillId="5" borderId="25" xfId="0" applyFont="1" applyFill="1" applyBorder="1" applyAlignment="1">
      <alignment horizontal="left" vertical="center" wrapText="1"/>
    </xf>
    <xf numFmtId="0" fontId="61" fillId="5" borderId="0" xfId="0" applyFont="1" applyFill="1" applyAlignment="1">
      <alignment vertical="center" wrapText="1"/>
    </xf>
    <xf numFmtId="0" fontId="3" fillId="5" borderId="0" xfId="0" applyFont="1" applyFill="1" applyAlignment="1">
      <alignment vertical="center" wrapText="1"/>
    </xf>
    <xf numFmtId="0" fontId="3" fillId="5" borderId="25" xfId="0" applyFont="1" applyFill="1" applyBorder="1" applyAlignment="1">
      <alignment vertical="center" wrapText="1"/>
    </xf>
    <xf numFmtId="0" fontId="22" fillId="5" borderId="22"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24" xfId="0" applyFont="1" applyFill="1" applyBorder="1" applyAlignment="1">
      <alignment vertical="center" wrapText="1"/>
    </xf>
    <xf numFmtId="0" fontId="22" fillId="5" borderId="6" xfId="0" applyFont="1" applyFill="1" applyBorder="1" applyAlignment="1">
      <alignment vertical="top"/>
    </xf>
    <xf numFmtId="0" fontId="22" fillId="5" borderId="0" xfId="0" applyFont="1" applyFill="1" applyAlignment="1">
      <alignment vertical="top"/>
    </xf>
    <xf numFmtId="0" fontId="61" fillId="5" borderId="0" xfId="0" applyFont="1" applyFill="1" applyAlignment="1">
      <alignment horizontal="left" vertical="center" wrapText="1"/>
    </xf>
    <xf numFmtId="0" fontId="61" fillId="5" borderId="25" xfId="0" applyFont="1" applyFill="1" applyBorder="1" applyAlignment="1">
      <alignment vertical="center" wrapText="1"/>
    </xf>
    <xf numFmtId="0" fontId="61" fillId="5" borderId="1" xfId="0" applyFont="1" applyFill="1" applyBorder="1" applyAlignment="1">
      <alignment vertical="center" wrapText="1"/>
    </xf>
    <xf numFmtId="0" fontId="61" fillId="5" borderId="24" xfId="0" applyFont="1" applyFill="1" applyBorder="1" applyAlignment="1">
      <alignment vertical="center" wrapText="1"/>
    </xf>
    <xf numFmtId="0" fontId="61" fillId="5" borderId="17" xfId="0" applyFont="1" applyFill="1" applyBorder="1" applyAlignment="1">
      <alignment vertical="center" wrapText="1"/>
    </xf>
    <xf numFmtId="0" fontId="61" fillId="5" borderId="18" xfId="0" applyFont="1" applyFill="1" applyBorder="1" applyAlignment="1">
      <alignment vertical="center" wrapText="1"/>
    </xf>
    <xf numFmtId="0" fontId="5" fillId="0" borderId="10" xfId="0" applyFont="1" applyBorder="1"/>
    <xf numFmtId="164" fontId="13" fillId="5" borderId="17" xfId="0" applyNumberFormat="1" applyFont="1" applyFill="1" applyBorder="1" applyAlignment="1">
      <alignment horizontal="center" vertical="center"/>
    </xf>
    <xf numFmtId="0" fontId="5" fillId="5" borderId="17" xfId="0" applyFont="1" applyFill="1" applyBorder="1"/>
    <xf numFmtId="0" fontId="4" fillId="5" borderId="18" xfId="0" applyFont="1" applyFill="1" applyBorder="1" applyAlignment="1">
      <alignment horizontal="left" vertical="center"/>
    </xf>
    <xf numFmtId="164" fontId="13" fillId="5" borderId="0" xfId="0" applyNumberFormat="1" applyFont="1" applyFill="1" applyAlignment="1">
      <alignment horizontal="center" vertical="center"/>
    </xf>
    <xf numFmtId="0" fontId="5" fillId="5" borderId="0" xfId="0" applyFont="1" applyFill="1"/>
    <xf numFmtId="0" fontId="5" fillId="5" borderId="25" xfId="0" applyFont="1" applyFill="1" applyBorder="1" applyAlignment="1">
      <alignment vertical="center"/>
    </xf>
    <xf numFmtId="0" fontId="74" fillId="0" borderId="0" xfId="0" applyFont="1"/>
    <xf numFmtId="0" fontId="55" fillId="5" borderId="0" xfId="0" applyFont="1" applyFill="1"/>
    <xf numFmtId="0" fontId="3" fillId="5" borderId="0" xfId="0" applyFont="1" applyFill="1" applyAlignment="1">
      <alignment vertical="center"/>
    </xf>
    <xf numFmtId="164" fontId="13" fillId="5" borderId="0" xfId="0" applyNumberFormat="1" applyFont="1" applyFill="1" applyAlignment="1">
      <alignment horizontal="center"/>
    </xf>
    <xf numFmtId="0" fontId="22" fillId="5" borderId="22" xfId="0" applyFont="1" applyFill="1" applyBorder="1"/>
    <xf numFmtId="0" fontId="5" fillId="5" borderId="1" xfId="0" applyFont="1" applyFill="1" applyBorder="1"/>
    <xf numFmtId="167" fontId="5" fillId="5" borderId="1" xfId="0" applyNumberFormat="1" applyFont="1" applyFill="1" applyBorder="1" applyAlignment="1">
      <alignment horizontal="center" vertical="center"/>
    </xf>
    <xf numFmtId="0" fontId="45" fillId="0" borderId="0" xfId="0" applyFont="1" applyAlignment="1">
      <alignment vertical="center"/>
    </xf>
    <xf numFmtId="0" fontId="4" fillId="0" borderId="0" xfId="0" applyFont="1" applyAlignment="1">
      <alignment horizontal="right" vertical="center"/>
    </xf>
    <xf numFmtId="0" fontId="22" fillId="0" borderId="0" xfId="0" applyFont="1" applyAlignment="1">
      <alignment vertical="center"/>
    </xf>
    <xf numFmtId="0" fontId="113" fillId="0" borderId="0" xfId="0" applyFont="1" applyAlignment="1">
      <alignment horizontal="center" vertical="center"/>
    </xf>
    <xf numFmtId="0" fontId="37" fillId="0" borderId="0" xfId="0" applyFont="1" applyAlignment="1">
      <alignment horizontal="center" vertical="center" wrapText="1"/>
    </xf>
    <xf numFmtId="0" fontId="35" fillId="0" borderId="0" xfId="0" applyFont="1" applyAlignment="1">
      <alignment horizontal="right" vertical="center"/>
    </xf>
    <xf numFmtId="0" fontId="35" fillId="0" borderId="0" xfId="0" applyFont="1" applyAlignment="1">
      <alignment vertical="center" wrapText="1"/>
    </xf>
    <xf numFmtId="0" fontId="29" fillId="0" borderId="0" xfId="0" applyFont="1" applyAlignment="1">
      <alignment horizontal="right" vertical="center"/>
    </xf>
    <xf numFmtId="0" fontId="5" fillId="0" borderId="12" xfId="0" applyFont="1" applyBorder="1"/>
    <xf numFmtId="0" fontId="5" fillId="0" borderId="13" xfId="0" applyFont="1" applyBorder="1"/>
    <xf numFmtId="0" fontId="5" fillId="0" borderId="13" xfId="0" applyFont="1" applyBorder="1" applyAlignment="1">
      <alignment vertical="center"/>
    </xf>
    <xf numFmtId="0" fontId="5" fillId="0" borderId="14" xfId="0" applyFont="1" applyBorder="1" applyAlignment="1">
      <alignment horizontal="right" vertical="center"/>
    </xf>
    <xf numFmtId="0" fontId="5" fillId="0" borderId="0" xfId="0" applyFont="1" applyAlignment="1">
      <alignment horizontal="right" vertical="center"/>
    </xf>
    <xf numFmtId="0" fontId="94" fillId="0" borderId="0" xfId="0" applyFont="1" applyAlignment="1">
      <alignment horizontal="left" vertical="center"/>
    </xf>
    <xf numFmtId="0" fontId="94" fillId="0" borderId="0" xfId="0" applyFont="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99" fillId="0" borderId="0" xfId="0" applyFont="1" applyAlignment="1">
      <alignment horizontal="center" vertical="center"/>
    </xf>
    <xf numFmtId="0" fontId="49" fillId="0" borderId="0" xfId="0" applyFont="1" applyAlignment="1">
      <alignment vertical="center"/>
    </xf>
    <xf numFmtId="0" fontId="99" fillId="0" borderId="0" xfId="0" applyFont="1" applyAlignment="1">
      <alignment horizontal="right" vertical="center"/>
    </xf>
    <xf numFmtId="0" fontId="52" fillId="0" borderId="0" xfId="0" applyFont="1" applyAlignment="1">
      <alignment vertical="center"/>
    </xf>
    <xf numFmtId="0" fontId="64"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100" fillId="0" borderId="0" xfId="0" applyFont="1" applyAlignment="1">
      <alignment horizontal="center"/>
    </xf>
    <xf numFmtId="0" fontId="100" fillId="0" borderId="0" xfId="0" applyFont="1" applyAlignment="1">
      <alignment horizontal="center" wrapText="1"/>
    </xf>
    <xf numFmtId="0" fontId="20" fillId="5" borderId="23"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4" fillId="5" borderId="0" xfId="0" applyFont="1" applyFill="1" applyAlignment="1">
      <alignment horizontal="right" vertical="center"/>
    </xf>
    <xf numFmtId="0" fontId="24" fillId="5" borderId="0" xfId="0" applyFont="1" applyFill="1" applyAlignment="1">
      <alignment horizontal="left" vertical="center"/>
    </xf>
    <xf numFmtId="0" fontId="5" fillId="5" borderId="0" xfId="0" applyFont="1" applyFill="1" applyAlignment="1">
      <alignment vertical="center"/>
    </xf>
    <xf numFmtId="0" fontId="22" fillId="5" borderId="0" xfId="0" applyFont="1" applyFill="1" applyAlignment="1">
      <alignment horizontal="right" vertical="center"/>
    </xf>
    <xf numFmtId="0" fontId="4" fillId="5" borderId="22" xfId="0" applyFont="1" applyFill="1" applyBorder="1"/>
    <xf numFmtId="0" fontId="4" fillId="5" borderId="1" xfId="0" applyFont="1" applyFill="1" applyBorder="1"/>
    <xf numFmtId="0" fontId="4" fillId="5" borderId="1" xfId="0" applyFont="1" applyFill="1" applyBorder="1" applyAlignment="1">
      <alignment horizontal="right"/>
    </xf>
    <xf numFmtId="0" fontId="4" fillId="5" borderId="1" xfId="0" applyFont="1" applyFill="1" applyBorder="1" applyAlignment="1">
      <alignment vertical="center"/>
    </xf>
    <xf numFmtId="0" fontId="5" fillId="5" borderId="1" xfId="0" applyFont="1" applyFill="1" applyBorder="1" applyAlignment="1">
      <alignment vertical="center"/>
    </xf>
    <xf numFmtId="0" fontId="21" fillId="0" borderId="0" xfId="0" applyFont="1" applyAlignment="1">
      <alignment horizontal="center" vertical="center"/>
    </xf>
    <xf numFmtId="0" fontId="22" fillId="5" borderId="6" xfId="0" applyFont="1" applyFill="1" applyBorder="1" applyAlignment="1">
      <alignment horizontal="left" vertical="center"/>
    </xf>
    <xf numFmtId="0" fontId="22" fillId="5" borderId="0" xfId="0" applyFont="1" applyFill="1" applyAlignment="1">
      <alignment horizontal="left" vertical="center"/>
    </xf>
    <xf numFmtId="0" fontId="86" fillId="5" borderId="0" xfId="0" applyFont="1" applyFill="1" applyAlignment="1">
      <alignment vertical="center"/>
    </xf>
    <xf numFmtId="0" fontId="86" fillId="5" borderId="25" xfId="0" applyFont="1" applyFill="1" applyBorder="1" applyAlignment="1">
      <alignment vertical="center"/>
    </xf>
    <xf numFmtId="0" fontId="5" fillId="0" borderId="11" xfId="0" applyFont="1" applyBorder="1" applyAlignment="1">
      <alignment horizontal="right"/>
    </xf>
    <xf numFmtId="0" fontId="94" fillId="0" borderId="0" xfId="0" applyFont="1" applyAlignment="1">
      <alignment horizontal="center"/>
    </xf>
    <xf numFmtId="0" fontId="4" fillId="5" borderId="16" xfId="0" applyFont="1" applyFill="1" applyBorder="1" applyAlignment="1">
      <alignment vertical="center"/>
    </xf>
    <xf numFmtId="0" fontId="4" fillId="5" borderId="44" xfId="0" applyFont="1" applyFill="1" applyBorder="1" applyAlignment="1">
      <alignment vertical="center"/>
    </xf>
    <xf numFmtId="0" fontId="100" fillId="0" borderId="0" xfId="0" applyFont="1" applyAlignment="1">
      <alignment horizontal="center" vertical="center" wrapText="1"/>
    </xf>
    <xf numFmtId="0" fontId="28" fillId="5" borderId="6" xfId="0" applyFont="1" applyFill="1" applyBorder="1" applyAlignment="1">
      <alignment horizontal="left" vertical="center" wrapText="1"/>
    </xf>
    <xf numFmtId="0" fontId="28" fillId="5" borderId="0" xfId="0" applyFont="1" applyFill="1" applyAlignment="1">
      <alignment horizontal="left" vertical="center"/>
    </xf>
    <xf numFmtId="0" fontId="28" fillId="5" borderId="25" xfId="0" applyFont="1" applyFill="1" applyBorder="1" applyAlignment="1">
      <alignment horizontal="left" vertical="center"/>
    </xf>
    <xf numFmtId="0" fontId="28" fillId="5" borderId="22" xfId="0" applyFont="1" applyFill="1" applyBorder="1" applyAlignment="1">
      <alignment horizontal="left" vertical="center" wrapText="1"/>
    </xf>
    <xf numFmtId="0" fontId="28" fillId="5" borderId="1" xfId="0" applyFont="1" applyFill="1" applyBorder="1" applyAlignment="1">
      <alignment horizontal="left" vertical="center"/>
    </xf>
    <xf numFmtId="0" fontId="28" fillId="5" borderId="24" xfId="0" applyFont="1" applyFill="1" applyBorder="1" applyAlignment="1">
      <alignment horizontal="left" vertical="center"/>
    </xf>
    <xf numFmtId="0" fontId="24" fillId="5" borderId="0" xfId="0" applyFont="1" applyFill="1" applyAlignment="1">
      <alignment wrapText="1"/>
    </xf>
    <xf numFmtId="164" fontId="24" fillId="5" borderId="0" xfId="0" applyNumberFormat="1" applyFont="1" applyFill="1" applyAlignment="1">
      <alignment horizontal="center" wrapText="1"/>
    </xf>
    <xf numFmtId="0" fontId="24" fillId="5" borderId="0" xfId="0" applyFont="1" applyFill="1" applyAlignment="1">
      <alignment horizontal="center" wrapText="1"/>
    </xf>
    <xf numFmtId="0" fontId="24" fillId="5" borderId="25" xfId="0" applyFont="1" applyFill="1" applyBorder="1" applyAlignment="1">
      <alignment wrapText="1"/>
    </xf>
    <xf numFmtId="0" fontId="24" fillId="5" borderId="1" xfId="0" applyFont="1" applyFill="1" applyBorder="1" applyAlignment="1">
      <alignment wrapText="1"/>
    </xf>
    <xf numFmtId="0" fontId="24" fillId="5" borderId="24" xfId="0" applyFont="1" applyFill="1" applyBorder="1" applyAlignment="1">
      <alignment wrapText="1"/>
    </xf>
    <xf numFmtId="0" fontId="4" fillId="0" borderId="13"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0" xfId="0" applyFont="1" applyAlignment="1">
      <alignment horizontal="left" wrapText="1"/>
    </xf>
    <xf numFmtId="0" fontId="4" fillId="0" borderId="8" xfId="0" applyFont="1" applyBorder="1" applyAlignment="1">
      <alignment vertical="center" wrapText="1"/>
    </xf>
    <xf numFmtId="0" fontId="4" fillId="0" borderId="8" xfId="0" applyFont="1" applyBorder="1" applyAlignment="1">
      <alignment horizontal="right" vertical="center"/>
    </xf>
    <xf numFmtId="0" fontId="54" fillId="0" borderId="0" xfId="0" applyFont="1" applyAlignment="1">
      <alignment vertical="center"/>
    </xf>
    <xf numFmtId="0" fontId="4" fillId="0" borderId="0" xfId="0" applyFont="1" applyAlignment="1">
      <alignment vertical="center" wrapText="1"/>
    </xf>
    <xf numFmtId="0" fontId="39" fillId="0" borderId="0" xfId="0" applyFont="1" applyAlignment="1">
      <alignment horizontal="left" vertical="center" wrapText="1"/>
    </xf>
    <xf numFmtId="0" fontId="55" fillId="0" borderId="0" xfId="0" applyFont="1" applyAlignment="1">
      <alignment horizontal="left" vertical="center"/>
    </xf>
    <xf numFmtId="0" fontId="25" fillId="0" borderId="0" xfId="0" applyFont="1" applyAlignment="1">
      <alignment horizontal="left" vertical="center" wrapText="1"/>
    </xf>
    <xf numFmtId="0" fontId="4" fillId="5" borderId="23" xfId="0" applyFont="1" applyFill="1" applyBorder="1" applyAlignment="1">
      <alignment vertical="center"/>
    </xf>
    <xf numFmtId="0" fontId="4" fillId="5" borderId="17" xfId="0" applyFont="1" applyFill="1" applyBorder="1" applyAlignment="1">
      <alignment vertical="center"/>
    </xf>
    <xf numFmtId="0" fontId="4" fillId="5" borderId="17" xfId="0" applyFont="1" applyFill="1" applyBorder="1" applyAlignment="1">
      <alignment horizontal="right"/>
    </xf>
    <xf numFmtId="0" fontId="4" fillId="5" borderId="17" xfId="0" applyFont="1" applyFill="1" applyBorder="1" applyAlignment="1">
      <alignment horizontal="left" vertical="center"/>
    </xf>
    <xf numFmtId="0" fontId="47" fillId="0" borderId="0" xfId="0" applyFont="1" applyAlignment="1">
      <alignment vertical="center"/>
    </xf>
    <xf numFmtId="172" fontId="94" fillId="0" borderId="0" xfId="0" applyNumberFormat="1" applyFont="1" applyAlignment="1">
      <alignment horizontal="center" vertical="center"/>
    </xf>
    <xf numFmtId="0" fontId="22" fillId="5" borderId="25" xfId="0" applyFont="1" applyFill="1" applyBorder="1" applyAlignment="1">
      <alignment horizontal="left" vertical="center"/>
    </xf>
    <xf numFmtId="0" fontId="95" fillId="0" borderId="0" xfId="0" applyFont="1" applyAlignment="1">
      <alignment horizontal="center" vertical="center"/>
    </xf>
    <xf numFmtId="0" fontId="24" fillId="5" borderId="0" xfId="0" applyFont="1" applyFill="1" applyAlignment="1">
      <alignment vertical="center" wrapText="1"/>
    </xf>
    <xf numFmtId="172" fontId="95" fillId="0" borderId="0" xfId="0" applyNumberFormat="1" applyFont="1" applyAlignment="1">
      <alignment horizontal="center" vertical="center"/>
    </xf>
    <xf numFmtId="0" fontId="4" fillId="5" borderId="0" xfId="0" applyFont="1" applyFill="1" applyAlignment="1">
      <alignment wrapText="1"/>
    </xf>
    <xf numFmtId="171" fontId="95" fillId="0" borderId="0" xfId="0" applyNumberFormat="1" applyFont="1" applyAlignment="1">
      <alignment horizontal="center" vertical="center"/>
    </xf>
    <xf numFmtId="0" fontId="22" fillId="5" borderId="22" xfId="0" applyFont="1" applyFill="1" applyBorder="1" applyAlignment="1">
      <alignment horizontal="left" vertical="center"/>
    </xf>
    <xf numFmtId="0" fontId="22" fillId="5" borderId="1" xfId="0" applyFont="1" applyFill="1" applyBorder="1" applyAlignment="1">
      <alignment horizontal="left" vertical="center"/>
    </xf>
    <xf numFmtId="0" fontId="4" fillId="5" borderId="1" xfId="0" applyFont="1" applyFill="1" applyBorder="1" applyAlignment="1">
      <alignment wrapText="1"/>
    </xf>
    <xf numFmtId="0" fontId="4" fillId="5" borderId="24" xfId="0" applyFont="1" applyFill="1" applyBorder="1" applyAlignment="1">
      <alignment wrapText="1"/>
    </xf>
    <xf numFmtId="0" fontId="22" fillId="5" borderId="23" xfId="0" applyFont="1" applyFill="1" applyBorder="1" applyAlignment="1">
      <alignment horizontal="left" vertical="center"/>
    </xf>
    <xf numFmtId="0" fontId="22" fillId="5" borderId="17" xfId="0" applyFont="1" applyFill="1" applyBorder="1" applyAlignment="1">
      <alignment horizontal="left" vertical="center"/>
    </xf>
    <xf numFmtId="0" fontId="4" fillId="5" borderId="17" xfId="0" applyFont="1" applyFill="1" applyBorder="1" applyAlignment="1">
      <alignment wrapText="1"/>
    </xf>
    <xf numFmtId="0" fontId="4" fillId="5" borderId="18" xfId="0" applyFont="1" applyFill="1" applyBorder="1" applyAlignment="1">
      <alignment wrapText="1"/>
    </xf>
    <xf numFmtId="0" fontId="4" fillId="5" borderId="25" xfId="0" applyFont="1" applyFill="1" applyBorder="1" applyAlignment="1">
      <alignment wrapText="1"/>
    </xf>
    <xf numFmtId="0" fontId="101" fillId="0" borderId="0" xfId="0" applyFont="1" applyAlignment="1">
      <alignment horizontal="center" vertical="center" wrapText="1"/>
    </xf>
    <xf numFmtId="0" fontId="24" fillId="5" borderId="0" xfId="0" applyFont="1" applyFill="1"/>
    <xf numFmtId="0" fontId="24" fillId="5" borderId="0" xfId="0" applyFont="1" applyFill="1" applyAlignment="1">
      <alignment horizontal="left" wrapText="1"/>
    </xf>
    <xf numFmtId="0" fontId="24" fillId="5" borderId="1" xfId="0" applyFont="1" applyFill="1" applyBorder="1" applyAlignment="1">
      <alignment horizontal="left" wrapText="1"/>
    </xf>
    <xf numFmtId="0" fontId="24" fillId="5" borderId="24" xfId="0" applyFont="1" applyFill="1" applyBorder="1" applyAlignment="1">
      <alignment horizontal="left" wrapText="1"/>
    </xf>
    <xf numFmtId="0" fontId="24" fillId="5" borderId="17" xfId="0" applyFont="1" applyFill="1" applyBorder="1" applyAlignment="1">
      <alignment horizontal="left" wrapText="1"/>
    </xf>
    <xf numFmtId="0" fontId="24" fillId="5" borderId="18" xfId="0" applyFont="1" applyFill="1" applyBorder="1" applyAlignment="1">
      <alignment horizontal="left" wrapText="1"/>
    </xf>
    <xf numFmtId="0" fontId="99" fillId="0" borderId="0" xfId="0" applyFont="1" applyAlignment="1">
      <alignment vertical="center"/>
    </xf>
    <xf numFmtId="0" fontId="22" fillId="5" borderId="25" xfId="0" applyFont="1" applyFill="1" applyBorder="1" applyAlignment="1">
      <alignment vertical="center"/>
    </xf>
    <xf numFmtId="0" fontId="83" fillId="5" borderId="6" xfId="0" applyFont="1" applyFill="1" applyBorder="1" applyAlignment="1">
      <alignment horizontal="left" vertical="center" wrapText="1"/>
    </xf>
    <xf numFmtId="0" fontId="22" fillId="5" borderId="6" xfId="0" applyFont="1" applyFill="1" applyBorder="1" applyAlignment="1">
      <alignment horizontal="left" vertical="top" wrapText="1"/>
    </xf>
    <xf numFmtId="0" fontId="22" fillId="5" borderId="0" xfId="0" applyFont="1" applyFill="1" applyAlignment="1">
      <alignment horizontal="left" vertical="top" wrapText="1"/>
    </xf>
    <xf numFmtId="0" fontId="3" fillId="5" borderId="0" xfId="0" applyFont="1" applyFill="1" applyAlignment="1">
      <alignment horizontal="left" vertical="top" wrapText="1"/>
    </xf>
    <xf numFmtId="0" fontId="3" fillId="5" borderId="25" xfId="0" applyFont="1" applyFill="1" applyBorder="1" applyAlignment="1">
      <alignment horizontal="left" vertical="top" wrapText="1"/>
    </xf>
    <xf numFmtId="0" fontId="83" fillId="5" borderId="0" xfId="0" applyFont="1" applyFill="1" applyAlignment="1">
      <alignment horizontal="right" vertical="top" wrapText="1"/>
    </xf>
    <xf numFmtId="0" fontId="23" fillId="5" borderId="6" xfId="0" applyFont="1" applyFill="1" applyBorder="1" applyAlignment="1">
      <alignment vertical="top" wrapText="1"/>
    </xf>
    <xf numFmtId="0" fontId="23" fillId="5" borderId="0" xfId="0" applyFont="1" applyFill="1" applyAlignment="1">
      <alignment vertical="top" wrapText="1"/>
    </xf>
    <xf numFmtId="0" fontId="24" fillId="5" borderId="25" xfId="0" applyFont="1" applyFill="1" applyBorder="1" applyAlignment="1">
      <alignment horizontal="left" wrapText="1"/>
    </xf>
    <xf numFmtId="172" fontId="24" fillId="5" borderId="25" xfId="0" applyNumberFormat="1" applyFont="1" applyFill="1" applyBorder="1" applyAlignment="1">
      <alignment horizontal="center" vertical="center" wrapText="1"/>
    </xf>
    <xf numFmtId="164" fontId="24" fillId="5" borderId="24" xfId="0" applyNumberFormat="1" applyFont="1" applyFill="1" applyBorder="1" applyAlignment="1">
      <alignment horizontal="left" vertical="center" wrapText="1"/>
    </xf>
    <xf numFmtId="0" fontId="21" fillId="0" borderId="13" xfId="0" applyFont="1" applyBorder="1" applyAlignment="1">
      <alignment horizontal="center" vertical="center"/>
    </xf>
    <xf numFmtId="0" fontId="4" fillId="0" borderId="13" xfId="0" applyFont="1" applyBorder="1" applyAlignment="1">
      <alignment horizontal="left" vertical="center"/>
    </xf>
    <xf numFmtId="0" fontId="57" fillId="0" borderId="21" xfId="0" applyFont="1" applyBorder="1" applyAlignment="1">
      <alignment vertical="center"/>
    </xf>
    <xf numFmtId="0" fontId="57" fillId="0" borderId="21" xfId="0" applyFont="1" applyBorder="1" applyAlignment="1">
      <alignment horizontal="right" vertical="center"/>
    </xf>
    <xf numFmtId="0" fontId="57" fillId="0" borderId="0" xfId="0" applyFont="1" applyAlignment="1">
      <alignment vertical="center"/>
    </xf>
    <xf numFmtId="0" fontId="102" fillId="0" borderId="0" xfId="0" applyFont="1" applyAlignment="1">
      <alignment horizontal="center" vertical="center"/>
    </xf>
    <xf numFmtId="0" fontId="25" fillId="0" borderId="0" xfId="0" applyFont="1" applyAlignment="1">
      <alignment vertical="center"/>
    </xf>
    <xf numFmtId="0" fontId="31" fillId="4" borderId="5" xfId="0" applyFont="1" applyFill="1" applyBorder="1" applyAlignment="1">
      <alignment vertical="center"/>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3" fillId="0" borderId="0" xfId="0" applyFont="1" applyAlignment="1">
      <alignment vertical="center" wrapText="1"/>
    </xf>
    <xf numFmtId="42" fontId="3" fillId="8" borderId="4" xfId="0" applyNumberFormat="1" applyFont="1" applyFill="1" applyBorder="1" applyAlignment="1">
      <alignment horizontal="right" vertical="center"/>
    </xf>
    <xf numFmtId="0" fontId="84" fillId="8" borderId="4" xfId="0" applyFont="1" applyFill="1" applyBorder="1" applyAlignment="1">
      <alignment horizontal="left" vertical="center"/>
    </xf>
    <xf numFmtId="42" fontId="3" fillId="7" borderId="4" xfId="0" applyNumberFormat="1" applyFont="1" applyFill="1" applyBorder="1" applyAlignment="1">
      <alignment horizontal="right" vertical="center"/>
    </xf>
    <xf numFmtId="165" fontId="3" fillId="8" borderId="4" xfId="0" applyNumberFormat="1" applyFont="1" applyFill="1" applyBorder="1" applyAlignment="1">
      <alignment vertical="center" wrapText="1"/>
    </xf>
    <xf numFmtId="0" fontId="84" fillId="8" borderId="3" xfId="0" applyFont="1" applyFill="1" applyBorder="1" applyAlignment="1">
      <alignment horizontal="left" vertical="center" wrapText="1"/>
    </xf>
    <xf numFmtId="42" fontId="14" fillId="11" borderId="4" xfId="0" applyNumberFormat="1" applyFont="1" applyFill="1" applyBorder="1" applyAlignment="1">
      <alignment vertical="center"/>
    </xf>
    <xf numFmtId="42" fontId="11" fillId="12" borderId="4" xfId="0" applyNumberFormat="1" applyFont="1" applyFill="1" applyBorder="1" applyAlignment="1">
      <alignment vertical="center"/>
    </xf>
    <xf numFmtId="42" fontId="14" fillId="15" borderId="4" xfId="0" applyNumberFormat="1" applyFont="1" applyFill="1" applyBorder="1" applyAlignment="1">
      <alignment horizontal="right" vertical="center"/>
    </xf>
    <xf numFmtId="0" fontId="10" fillId="6" borderId="4" xfId="0" applyFont="1" applyFill="1" applyBorder="1" applyAlignment="1">
      <alignment horizontal="center" vertical="center"/>
    </xf>
    <xf numFmtId="0" fontId="31" fillId="6" borderId="5" xfId="0" applyFont="1" applyFill="1" applyBorder="1" applyAlignment="1">
      <alignment horizontal="center" vertical="center" wrapText="1"/>
    </xf>
    <xf numFmtId="0" fontId="31" fillId="6" borderId="2" xfId="0" applyFont="1" applyFill="1" applyBorder="1" applyAlignment="1">
      <alignment vertical="center"/>
    </xf>
    <xf numFmtId="0" fontId="31" fillId="6" borderId="3" xfId="0" applyFont="1" applyFill="1" applyBorder="1" applyAlignment="1">
      <alignment vertical="center"/>
    </xf>
    <xf numFmtId="0" fontId="11" fillId="4" borderId="3" xfId="0" applyFont="1" applyFill="1" applyBorder="1" applyAlignment="1">
      <alignment vertical="center"/>
    </xf>
    <xf numFmtId="0" fontId="11" fillId="12" borderId="4"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left" vertical="center"/>
    </xf>
    <xf numFmtId="0" fontId="5" fillId="0" borderId="11" xfId="0" applyFont="1" applyBorder="1"/>
    <xf numFmtId="42" fontId="14" fillId="9" borderId="4" xfId="0" applyNumberFormat="1" applyFont="1" applyFill="1" applyBorder="1" applyAlignment="1">
      <alignment horizontal="right" vertical="center"/>
    </xf>
    <xf numFmtId="42" fontId="11" fillId="12" borderId="26" xfId="0" applyNumberFormat="1" applyFont="1" applyFill="1" applyBorder="1" applyAlignment="1">
      <alignment vertical="center"/>
    </xf>
    <xf numFmtId="165" fontId="3" fillId="6" borderId="5" xfId="0" applyNumberFormat="1" applyFont="1" applyFill="1" applyBorder="1" applyAlignment="1">
      <alignment vertical="center"/>
    </xf>
    <xf numFmtId="0" fontId="10" fillId="6" borderId="3" xfId="0" applyFont="1" applyFill="1" applyBorder="1" applyAlignment="1">
      <alignment horizontal="center" vertical="center"/>
    </xf>
    <xf numFmtId="0" fontId="122" fillId="0" borderId="0" xfId="0" applyFont="1" applyAlignment="1">
      <alignment horizontal="left" vertical="center"/>
    </xf>
    <xf numFmtId="0" fontId="82" fillId="0" borderId="0" xfId="0" applyFont="1" applyAlignment="1">
      <alignment vertical="center"/>
    </xf>
    <xf numFmtId="0" fontId="14" fillId="4" borderId="4" xfId="0" applyFont="1" applyFill="1" applyBorder="1" applyAlignment="1">
      <alignment horizontal="center" vertical="center"/>
    </xf>
    <xf numFmtId="0" fontId="14" fillId="12" borderId="5"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4" xfId="0" applyFont="1" applyFill="1" applyBorder="1" applyAlignment="1">
      <alignment horizontal="center" vertical="center" wrapText="1"/>
    </xf>
    <xf numFmtId="42" fontId="31" fillId="4" borderId="4" xfId="0" applyNumberFormat="1" applyFont="1" applyFill="1" applyBorder="1" applyAlignment="1">
      <alignment vertical="center"/>
    </xf>
    <xf numFmtId="42" fontId="31" fillId="9" borderId="4" xfId="0" applyNumberFormat="1" applyFont="1" applyFill="1" applyBorder="1" applyAlignment="1">
      <alignment horizontal="right" vertical="center"/>
    </xf>
    <xf numFmtId="42" fontId="31" fillId="0" borderId="26" xfId="0" applyNumberFormat="1" applyFont="1" applyBorder="1" applyAlignment="1">
      <alignment vertical="center"/>
    </xf>
    <xf numFmtId="42" fontId="31" fillId="15" borderId="4" xfId="0" applyNumberFormat="1" applyFont="1" applyFill="1" applyBorder="1" applyAlignment="1">
      <alignment horizontal="right" vertical="center"/>
    </xf>
    <xf numFmtId="0" fontId="11" fillId="0" borderId="13" xfId="0" applyFont="1" applyBorder="1" applyAlignment="1">
      <alignment horizontal="center" vertical="center"/>
    </xf>
    <xf numFmtId="165" fontId="11" fillId="0" borderId="13" xfId="0" applyNumberFormat="1" applyFont="1" applyBorder="1" applyAlignment="1">
      <alignment vertical="center"/>
    </xf>
    <xf numFmtId="0" fontId="5" fillId="0" borderId="14" xfId="0" applyFont="1" applyBorder="1" applyAlignment="1">
      <alignment vertical="center"/>
    </xf>
    <xf numFmtId="0" fontId="5" fillId="0" borderId="8" xfId="0" applyFont="1" applyBorder="1" applyAlignment="1">
      <alignment horizontal="left" vertical="center"/>
    </xf>
    <xf numFmtId="0" fontId="4" fillId="5" borderId="17" xfId="0" applyFont="1" applyFill="1" applyBorder="1" applyAlignment="1">
      <alignment horizontal="right" vertical="center"/>
    </xf>
    <xf numFmtId="0" fontId="5" fillId="5" borderId="17" xfId="0" applyFont="1" applyFill="1" applyBorder="1" applyAlignment="1">
      <alignment vertical="center"/>
    </xf>
    <xf numFmtId="0" fontId="5" fillId="5" borderId="18" xfId="0" applyFont="1" applyFill="1" applyBorder="1" applyAlignment="1">
      <alignment vertical="center"/>
    </xf>
    <xf numFmtId="0" fontId="94" fillId="0" borderId="0" xfId="0" applyFont="1" applyAlignment="1">
      <alignment vertical="center"/>
    </xf>
    <xf numFmtId="164" fontId="3" fillId="5" borderId="0" xfId="0" applyNumberFormat="1" applyFont="1" applyFill="1" applyAlignment="1">
      <alignment horizontal="center" vertical="center" wrapText="1"/>
    </xf>
    <xf numFmtId="0" fontId="4" fillId="5" borderId="6" xfId="0" applyFont="1" applyFill="1" applyBorder="1" applyAlignment="1">
      <alignment vertical="center"/>
    </xf>
    <xf numFmtId="0" fontId="4" fillId="5" borderId="0" xfId="0" applyFont="1" applyFill="1" applyAlignment="1">
      <alignment vertical="center"/>
    </xf>
    <xf numFmtId="0" fontId="3" fillId="5" borderId="0" xfId="0" applyFont="1" applyFill="1" applyAlignment="1">
      <alignment horizontal="right" vertical="center"/>
    </xf>
    <xf numFmtId="0" fontId="28" fillId="5" borderId="1" xfId="0" applyFont="1" applyFill="1" applyBorder="1" applyAlignment="1">
      <alignment horizontal="left" vertical="center" wrapText="1"/>
    </xf>
    <xf numFmtId="0" fontId="24" fillId="5" borderId="1" xfId="0" applyFont="1" applyFill="1" applyBorder="1" applyAlignment="1">
      <alignment horizontal="center" vertical="center"/>
    </xf>
    <xf numFmtId="0" fontId="79" fillId="5" borderId="1" xfId="0" applyFont="1" applyFill="1" applyBorder="1" applyAlignment="1">
      <alignment horizontal="right" vertical="center" wrapText="1"/>
    </xf>
    <xf numFmtId="0" fontId="14" fillId="4"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164" fontId="88" fillId="3" borderId="4" xfId="0" applyNumberFormat="1" applyFont="1" applyFill="1" applyBorder="1" applyAlignment="1">
      <alignment horizontal="right" vertical="center"/>
    </xf>
    <xf numFmtId="164" fontId="88" fillId="0" borderId="6" xfId="0" applyNumberFormat="1" applyFont="1" applyBorder="1" applyAlignment="1">
      <alignment horizontal="right" vertical="center"/>
    </xf>
    <xf numFmtId="164" fontId="88" fillId="0" borderId="25" xfId="0" applyNumberFormat="1" applyFont="1" applyBorder="1" applyAlignment="1">
      <alignment horizontal="right" vertical="center"/>
    </xf>
    <xf numFmtId="0" fontId="88" fillId="3" borderId="2" xfId="0" applyFont="1" applyFill="1" applyBorder="1" applyAlignment="1">
      <alignment horizontal="left" vertical="center" wrapText="1"/>
    </xf>
    <xf numFmtId="0" fontId="88" fillId="3" borderId="3" xfId="0" applyFont="1" applyFill="1" applyBorder="1" applyAlignment="1">
      <alignment horizontal="left" vertical="center" wrapText="1"/>
    </xf>
    <xf numFmtId="42" fontId="88" fillId="0" borderId="6" xfId="0" applyNumberFormat="1" applyFont="1" applyBorder="1" applyAlignment="1">
      <alignment horizontal="right" vertical="center"/>
    </xf>
    <xf numFmtId="42" fontId="88" fillId="0" borderId="25" xfId="0" applyNumberFormat="1" applyFont="1" applyBorder="1" applyAlignment="1">
      <alignment horizontal="right" vertical="center"/>
    </xf>
    <xf numFmtId="42" fontId="3" fillId="7" borderId="20" xfId="0" applyNumberFormat="1" applyFont="1" applyFill="1" applyBorder="1" applyAlignment="1">
      <alignment horizontal="right" vertical="center"/>
    </xf>
    <xf numFmtId="42" fontId="70" fillId="3" borderId="4" xfId="0" applyNumberFormat="1" applyFont="1" applyFill="1" applyBorder="1" applyAlignment="1">
      <alignment horizontal="right" vertical="center"/>
    </xf>
    <xf numFmtId="0" fontId="84" fillId="3" borderId="2" xfId="0" applyFont="1" applyFill="1" applyBorder="1" applyAlignment="1">
      <alignment horizontal="left" vertical="center" wrapText="1"/>
    </xf>
    <xf numFmtId="0" fontId="84" fillId="3" borderId="3" xfId="0" applyFont="1" applyFill="1" applyBorder="1" applyAlignment="1">
      <alignment horizontal="left" vertical="center" wrapText="1"/>
    </xf>
    <xf numFmtId="42" fontId="3" fillId="0" borderId="6" xfId="0" applyNumberFormat="1" applyFont="1" applyBorder="1" applyAlignment="1">
      <alignment horizontal="right" vertical="center"/>
    </xf>
    <xf numFmtId="0" fontId="5" fillId="0" borderId="0" xfId="0" applyFont="1" applyAlignment="1">
      <alignment horizontal="center" vertical="center"/>
    </xf>
    <xf numFmtId="0" fontId="79" fillId="5" borderId="4" xfId="0" applyFont="1" applyFill="1" applyBorder="1" applyAlignment="1">
      <alignment horizontal="right" vertical="center" wrapText="1"/>
    </xf>
    <xf numFmtId="42" fontId="103" fillId="8" borderId="4" xfId="0" applyNumberFormat="1" applyFont="1" applyFill="1" applyBorder="1" applyAlignment="1">
      <alignment horizontal="center" vertical="center"/>
    </xf>
    <xf numFmtId="0" fontId="147" fillId="0" borderId="0" xfId="0" applyFont="1"/>
    <xf numFmtId="42" fontId="86" fillId="0" borderId="25" xfId="0" applyNumberFormat="1" applyFont="1" applyBorder="1" applyAlignment="1">
      <alignment vertical="center"/>
    </xf>
    <xf numFmtId="164" fontId="5" fillId="0" borderId="0" xfId="0" applyNumberFormat="1" applyFont="1"/>
    <xf numFmtId="42" fontId="31" fillId="0" borderId="6" xfId="0" applyNumberFormat="1" applyFont="1" applyBorder="1" applyAlignment="1">
      <alignment vertical="center"/>
    </xf>
    <xf numFmtId="42" fontId="31" fillId="0" borderId="25" xfId="0" applyNumberFormat="1" applyFont="1" applyBorder="1" applyAlignment="1">
      <alignment vertical="center"/>
    </xf>
    <xf numFmtId="42" fontId="31" fillId="6" borderId="4" xfId="0" applyNumberFormat="1" applyFont="1" applyFill="1" applyBorder="1" applyAlignment="1">
      <alignment vertical="center"/>
    </xf>
    <xf numFmtId="0" fontId="60" fillId="6" borderId="2" xfId="0" applyFont="1" applyFill="1" applyBorder="1" applyAlignment="1">
      <alignment vertical="center" wrapText="1"/>
    </xf>
    <xf numFmtId="0" fontId="60" fillId="6" borderId="3" xfId="0" applyFont="1" applyFill="1" applyBorder="1" applyAlignment="1">
      <alignment vertical="center" wrapText="1"/>
    </xf>
    <xf numFmtId="0" fontId="5" fillId="0" borderId="0" xfId="0" applyFont="1" applyAlignment="1">
      <alignment horizontal="center" vertical="center" wrapText="1"/>
    </xf>
    <xf numFmtId="0" fontId="5" fillId="0" borderId="14" xfId="0" applyFont="1" applyBorder="1"/>
    <xf numFmtId="0" fontId="5" fillId="0" borderId="21" xfId="0" applyFont="1" applyBorder="1"/>
    <xf numFmtId="0" fontId="135" fillId="0" borderId="0" xfId="0" applyFont="1" applyAlignment="1">
      <alignment horizontal="center" vertical="center" wrapText="1"/>
    </xf>
    <xf numFmtId="0" fontId="85" fillId="0" borderId="0" xfId="0" applyFont="1" applyAlignment="1">
      <alignment vertical="center"/>
    </xf>
    <xf numFmtId="0" fontId="39" fillId="0" borderId="0" xfId="0" applyFont="1" applyAlignment="1">
      <alignment horizontal="right" vertical="center"/>
    </xf>
    <xf numFmtId="0" fontId="96" fillId="0" borderId="0" xfId="0" applyFont="1" applyAlignment="1">
      <alignment horizontal="left" vertical="center"/>
    </xf>
    <xf numFmtId="0" fontId="1" fillId="0" borderId="13" xfId="0" applyFont="1" applyBorder="1" applyAlignment="1">
      <alignment vertical="center"/>
    </xf>
    <xf numFmtId="0" fontId="1" fillId="0" borderId="13" xfId="0" applyFont="1" applyBorder="1" applyAlignment="1">
      <alignment horizontal="right" vertical="center"/>
    </xf>
    <xf numFmtId="0" fontId="135"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5" fillId="0" borderId="7" xfId="0" applyFont="1" applyBorder="1"/>
    <xf numFmtId="0" fontId="5" fillId="0" borderId="9" xfId="0" applyFont="1" applyBorder="1"/>
    <xf numFmtId="42" fontId="24" fillId="0" borderId="4" xfId="0" applyNumberFormat="1" applyFont="1" applyBorder="1" applyAlignment="1">
      <alignment horizontal="right" vertical="center"/>
    </xf>
    <xf numFmtId="42" fontId="24" fillId="7" borderId="4" xfId="0" applyNumberFormat="1" applyFont="1" applyFill="1" applyBorder="1" applyAlignment="1">
      <alignment vertical="center"/>
    </xf>
    <xf numFmtId="42" fontId="135" fillId="0" borderId="0" xfId="0" applyNumberFormat="1" applyFont="1" applyAlignment="1">
      <alignment horizontal="center" vertical="center"/>
    </xf>
    <xf numFmtId="0" fontId="28" fillId="0" borderId="8" xfId="0" applyFont="1" applyBorder="1" applyAlignment="1">
      <alignment vertical="center"/>
    </xf>
    <xf numFmtId="174" fontId="24" fillId="0" borderId="8" xfId="0" applyNumberFormat="1" applyFont="1" applyBorder="1" applyAlignment="1">
      <alignment horizontal="right" vertical="center"/>
    </xf>
    <xf numFmtId="0" fontId="25" fillId="0" borderId="0" xfId="0" applyFont="1" applyAlignment="1">
      <alignment vertical="center" wrapText="1"/>
    </xf>
    <xf numFmtId="0" fontId="0" fillId="0" borderId="0" xfId="0" applyAlignment="1">
      <alignment vertical="center"/>
    </xf>
    <xf numFmtId="164" fontId="5" fillId="0" borderId="0" xfId="0" applyNumberFormat="1" applyFont="1" applyAlignment="1">
      <alignment horizontal="center" vertical="center"/>
    </xf>
    <xf numFmtId="0" fontId="5" fillId="0" borderId="8" xfId="0" applyFont="1" applyBorder="1" applyAlignment="1">
      <alignment horizontal="center"/>
    </xf>
    <xf numFmtId="164" fontId="5" fillId="0" borderId="8" xfId="0" applyNumberFormat="1" applyFont="1" applyBorder="1" applyAlignment="1">
      <alignment horizontal="center" vertical="center"/>
    </xf>
    <xf numFmtId="0" fontId="5" fillId="0" borderId="0" xfId="0" applyFont="1" applyAlignment="1">
      <alignment vertical="center" wrapText="1"/>
    </xf>
    <xf numFmtId="0" fontId="59" fillId="0" borderId="0" xfId="0" applyFont="1" applyAlignment="1">
      <alignment vertical="center"/>
    </xf>
    <xf numFmtId="0" fontId="5" fillId="0" borderId="10" xfId="0" applyFont="1" applyBorder="1" applyAlignment="1">
      <alignment vertical="center" wrapText="1"/>
    </xf>
    <xf numFmtId="0" fontId="35" fillId="0" borderId="37" xfId="0" applyFont="1" applyBorder="1" applyAlignment="1">
      <alignment horizontal="center" vertical="center" wrapText="1"/>
    </xf>
    <xf numFmtId="0" fontId="35" fillId="0" borderId="4" xfId="0" applyFont="1" applyBorder="1" applyAlignment="1">
      <alignment horizontal="center" vertical="center" wrapText="1"/>
    </xf>
    <xf numFmtId="164" fontId="11" fillId="6" borderId="4" xfId="0" applyNumberFormat="1" applyFont="1" applyFill="1" applyBorder="1" applyAlignment="1">
      <alignment horizontal="center" vertical="center" wrapText="1"/>
    </xf>
    <xf numFmtId="0" fontId="11" fillId="12" borderId="38" xfId="0" applyFont="1" applyFill="1" applyBorder="1" applyAlignment="1">
      <alignment horizontal="center" vertical="center" wrapText="1"/>
    </xf>
    <xf numFmtId="0" fontId="5" fillId="0" borderId="11" xfId="0" applyFont="1" applyBorder="1" applyAlignment="1">
      <alignment vertical="center" wrapText="1"/>
    </xf>
    <xf numFmtId="0" fontId="28" fillId="0" borderId="42" xfId="0" applyFont="1" applyBorder="1" applyAlignment="1">
      <alignment vertical="center" wrapText="1"/>
    </xf>
    <xf numFmtId="0" fontId="28" fillId="0" borderId="43" xfId="0" applyFont="1" applyBorder="1" applyAlignment="1">
      <alignment vertical="center" wrapText="1"/>
    </xf>
    <xf numFmtId="0" fontId="42" fillId="0" borderId="13" xfId="0" applyFont="1" applyBorder="1" applyAlignment="1">
      <alignment horizontal="center" vertical="center" wrapText="1"/>
    </xf>
    <xf numFmtId="0" fontId="5" fillId="0" borderId="13" xfId="0" applyFont="1" applyBorder="1" applyAlignment="1">
      <alignment horizontal="center"/>
    </xf>
    <xf numFmtId="164" fontId="5" fillId="0" borderId="13" xfId="0" applyNumberFormat="1" applyFont="1" applyBorder="1" applyAlignment="1">
      <alignment horizontal="center" vertical="center"/>
    </xf>
    <xf numFmtId="166" fontId="5" fillId="0" borderId="0" xfId="0" applyNumberFormat="1" applyFont="1" applyAlignment="1">
      <alignment horizontal="center"/>
    </xf>
    <xf numFmtId="0" fontId="25" fillId="0" borderId="0" xfId="0" applyFont="1"/>
    <xf numFmtId="0" fontId="80" fillId="0" borderId="0" xfId="0" applyFont="1"/>
    <xf numFmtId="0" fontId="93" fillId="0" borderId="0" xfId="0" applyFont="1" applyAlignment="1">
      <alignment horizontal="left" vertical="center"/>
    </xf>
    <xf numFmtId="0" fontId="93" fillId="0" borderId="0" xfId="0" applyFont="1" applyAlignment="1">
      <alignment vertical="center"/>
    </xf>
    <xf numFmtId="0" fontId="93" fillId="0" borderId="0" xfId="0" applyFont="1" applyAlignment="1">
      <alignment horizontal="center" vertical="center"/>
    </xf>
    <xf numFmtId="164" fontId="93" fillId="0" borderId="0" xfId="0" applyNumberFormat="1" applyFont="1" applyAlignment="1">
      <alignment vertical="center"/>
    </xf>
    <xf numFmtId="0" fontId="94" fillId="0" borderId="0" xfId="0" applyFont="1"/>
    <xf numFmtId="0" fontId="21" fillId="0" borderId="0" xfId="0" applyFont="1" applyAlignment="1">
      <alignment vertical="center"/>
    </xf>
    <xf numFmtId="0" fontId="13" fillId="0" borderId="0" xfId="0" applyFont="1"/>
    <xf numFmtId="0" fontId="95" fillId="0" borderId="0" xfId="0" applyFont="1"/>
    <xf numFmtId="0" fontId="95" fillId="0" borderId="0" xfId="0" applyFont="1" applyAlignment="1">
      <alignment horizontal="center"/>
    </xf>
    <xf numFmtId="164" fontId="95" fillId="0" borderId="0" xfId="0" applyNumberFormat="1" applyFont="1" applyAlignment="1">
      <alignment horizontal="center"/>
    </xf>
    <xf numFmtId="166" fontId="5" fillId="0" borderId="8" xfId="0" applyNumberFormat="1" applyFont="1" applyBorder="1" applyAlignment="1">
      <alignment horizontal="center"/>
    </xf>
    <xf numFmtId="0" fontId="5" fillId="0" borderId="8" xfId="0" applyFont="1" applyBorder="1"/>
    <xf numFmtId="0" fontId="5" fillId="0" borderId="0" xfId="0" applyFont="1" applyAlignment="1">
      <alignment wrapText="1"/>
    </xf>
    <xf numFmtId="0" fontId="5" fillId="0" borderId="0" xfId="0" applyFont="1" applyAlignment="1">
      <alignment horizontal="center" wrapText="1"/>
    </xf>
    <xf numFmtId="166" fontId="35" fillId="0" borderId="0" xfId="0" applyNumberFormat="1" applyFont="1" applyAlignment="1">
      <alignment horizontal="left" vertical="center"/>
    </xf>
    <xf numFmtId="166" fontId="20" fillId="0" borderId="0" xfId="0" applyNumberFormat="1" applyFont="1" applyAlignment="1">
      <alignment horizontal="left" vertical="center"/>
    </xf>
    <xf numFmtId="0" fontId="13" fillId="0" borderId="0" xfId="0" applyFont="1" applyAlignment="1">
      <alignment horizontal="center"/>
    </xf>
    <xf numFmtId="166" fontId="74" fillId="0" borderId="0" xfId="0" quotePrefix="1" applyNumberFormat="1" applyFont="1" applyAlignment="1">
      <alignment horizontal="left"/>
    </xf>
    <xf numFmtId="0" fontId="5" fillId="0" borderId="10" xfId="0" applyFont="1" applyBorder="1" applyAlignment="1">
      <alignment horizontal="center" vertical="center"/>
    </xf>
    <xf numFmtId="166" fontId="70" fillId="4" borderId="4" xfId="0" applyNumberFormat="1" applyFont="1" applyFill="1" applyBorder="1" applyAlignment="1">
      <alignment horizontal="center" vertical="center" wrapText="1"/>
    </xf>
    <xf numFmtId="0" fontId="70" fillId="4" borderId="4" xfId="0" applyFont="1" applyFill="1" applyBorder="1" applyAlignment="1">
      <alignment horizontal="center" vertical="center" wrapText="1"/>
    </xf>
    <xf numFmtId="0" fontId="70" fillId="4" borderId="4" xfId="0" applyFont="1" applyFill="1" applyBorder="1" applyAlignment="1">
      <alignment horizontal="center" vertical="center" textRotation="90"/>
    </xf>
    <xf numFmtId="0" fontId="70" fillId="4" borderId="5" xfId="0" applyFont="1" applyFill="1" applyBorder="1" applyAlignment="1">
      <alignment horizontal="center" vertical="center" wrapText="1"/>
    </xf>
    <xf numFmtId="0" fontId="72" fillId="4" borderId="4" xfId="0" applyFont="1" applyFill="1" applyBorder="1" applyAlignment="1">
      <alignment horizontal="center" vertical="center" textRotation="90" wrapText="1"/>
    </xf>
    <xf numFmtId="0" fontId="70" fillId="4" borderId="4" xfId="0" applyFont="1" applyFill="1" applyBorder="1" applyAlignment="1">
      <alignment horizontal="center" vertical="center"/>
    </xf>
    <xf numFmtId="0" fontId="5" fillId="0" borderId="11" xfId="0" applyFont="1" applyBorder="1" applyAlignment="1">
      <alignment horizontal="center" vertical="center"/>
    </xf>
    <xf numFmtId="0" fontId="82" fillId="0" borderId="0" xfId="0" applyFont="1" applyAlignment="1">
      <alignment horizontal="center" vertical="center" wrapText="1"/>
    </xf>
    <xf numFmtId="0" fontId="95" fillId="0" borderId="0" xfId="0" applyFont="1" applyAlignment="1">
      <alignment horizontal="center" vertical="center" wrapText="1"/>
    </xf>
    <xf numFmtId="0" fontId="93" fillId="0" borderId="0" xfId="0" applyFont="1" applyAlignment="1">
      <alignment horizontal="center" vertical="center" wrapText="1"/>
    </xf>
    <xf numFmtId="164" fontId="95" fillId="0" borderId="0" xfId="0" applyNumberFormat="1" applyFont="1" applyAlignment="1">
      <alignment horizontal="center" vertical="center" wrapText="1"/>
    </xf>
    <xf numFmtId="0" fontId="42" fillId="0" borderId="4" xfId="0" applyFont="1" applyBorder="1" applyAlignment="1">
      <alignment horizontal="center" vertical="center" wrapText="1"/>
    </xf>
    <xf numFmtId="173" fontId="13" fillId="0" borderId="10" xfId="0" applyNumberFormat="1" applyFont="1" applyBorder="1" applyAlignment="1">
      <alignment vertical="center"/>
    </xf>
    <xf numFmtId="0" fontId="112" fillId="0" borderId="0" xfId="0" applyFont="1" applyAlignment="1">
      <alignment horizontal="center" vertical="center"/>
    </xf>
    <xf numFmtId="164" fontId="95" fillId="0" borderId="0" xfId="0" applyNumberFormat="1" applyFont="1" applyAlignment="1">
      <alignment horizontal="right" vertical="center"/>
    </xf>
    <xf numFmtId="0" fontId="13" fillId="0" borderId="0" xfId="0" applyFont="1" applyAlignment="1">
      <alignment vertical="center"/>
    </xf>
    <xf numFmtId="164" fontId="95" fillId="0" borderId="0" xfId="0" applyNumberFormat="1" applyFont="1" applyAlignment="1">
      <alignment horizontal="center" vertical="center"/>
    </xf>
    <xf numFmtId="0" fontId="95" fillId="0" borderId="0" xfId="0" applyFont="1" applyAlignment="1">
      <alignment vertical="center"/>
    </xf>
    <xf numFmtId="166" fontId="42" fillId="0" borderId="13" xfId="0" applyNumberFormat="1" applyFont="1" applyBorder="1" applyAlignment="1">
      <alignment horizontal="center" wrapText="1"/>
    </xf>
    <xf numFmtId="0" fontId="42" fillId="0" borderId="13" xfId="0" applyFont="1" applyBorder="1" applyAlignment="1">
      <alignment wrapText="1"/>
    </xf>
    <xf numFmtId="0" fontId="42" fillId="0" borderId="13" xfId="0" applyFont="1" applyBorder="1" applyAlignment="1">
      <alignment horizontal="center" wrapText="1"/>
    </xf>
    <xf numFmtId="0" fontId="42" fillId="0" borderId="13" xfId="0" applyFont="1" applyBorder="1"/>
    <xf numFmtId="0" fontId="93" fillId="0" borderId="0" xfId="0" applyFont="1"/>
    <xf numFmtId="0" fontId="95" fillId="0" borderId="0" xfId="0" applyFont="1" applyAlignment="1">
      <alignment horizontal="right"/>
    </xf>
    <xf numFmtId="0" fontId="93" fillId="0" borderId="0" xfId="0" applyFont="1" applyAlignment="1">
      <alignment horizontal="center"/>
    </xf>
    <xf numFmtId="164" fontId="95" fillId="0" borderId="0" xfId="0" applyNumberFormat="1" applyFont="1" applyAlignment="1">
      <alignment horizontal="right"/>
    </xf>
    <xf numFmtId="0" fontId="28" fillId="0" borderId="0" xfId="0" applyFont="1" applyAlignment="1">
      <alignment horizontal="center"/>
    </xf>
    <xf numFmtId="0" fontId="28" fillId="0" borderId="0" xfId="0" applyFont="1"/>
    <xf numFmtId="164" fontId="95" fillId="0" borderId="0" xfId="0" applyNumberFormat="1" applyFont="1"/>
    <xf numFmtId="0" fontId="3" fillId="0" borderId="0" xfId="0" applyFont="1" applyAlignment="1">
      <alignment horizontal="left"/>
    </xf>
    <xf numFmtId="166" fontId="5" fillId="0" borderId="0" xfId="0" applyNumberFormat="1" applyFont="1" applyAlignment="1">
      <alignment horizontal="center" vertical="center"/>
    </xf>
    <xf numFmtId="0" fontId="5" fillId="0" borderId="0" xfId="0" applyFont="1" applyAlignment="1">
      <alignment horizontal="right"/>
    </xf>
    <xf numFmtId="166" fontId="55" fillId="4" borderId="32" xfId="0" quotePrefix="1" applyNumberFormat="1" applyFont="1" applyFill="1" applyBorder="1" applyAlignment="1">
      <alignment horizontal="left" vertical="center"/>
    </xf>
    <xf numFmtId="166" fontId="70" fillId="4" borderId="41" xfId="0" applyNumberFormat="1" applyFont="1" applyFill="1" applyBorder="1" applyAlignment="1">
      <alignment horizontal="center" vertical="center" wrapText="1"/>
    </xf>
    <xf numFmtId="166" fontId="70" fillId="4" borderId="51" xfId="0" applyNumberFormat="1" applyFont="1" applyFill="1" applyBorder="1" applyAlignment="1">
      <alignment horizontal="center" vertical="center" wrapText="1"/>
    </xf>
    <xf numFmtId="0" fontId="70" fillId="4" borderId="26" xfId="0" applyFont="1" applyFill="1" applyBorder="1" applyAlignment="1">
      <alignment horizontal="center" vertical="center" wrapText="1"/>
    </xf>
    <xf numFmtId="0" fontId="70" fillId="4" borderId="52" xfId="0" applyFont="1" applyFill="1" applyBorder="1" applyAlignment="1">
      <alignment horizontal="center" vertical="center" wrapText="1"/>
    </xf>
    <xf numFmtId="0" fontId="70" fillId="4" borderId="51" xfId="0" applyFont="1" applyFill="1" applyBorder="1" applyAlignment="1">
      <alignment horizontal="center" vertical="center" wrapText="1"/>
    </xf>
    <xf numFmtId="0" fontId="70" fillId="4" borderId="6"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77" fillId="4" borderId="51" xfId="0" applyFont="1" applyFill="1" applyBorder="1" applyAlignment="1">
      <alignment horizontal="center" vertical="center" textRotation="90" wrapText="1"/>
    </xf>
    <xf numFmtId="0" fontId="77" fillId="4" borderId="52" xfId="0" applyFont="1" applyFill="1" applyBorder="1" applyAlignment="1">
      <alignment horizontal="center" vertical="center" textRotation="90"/>
    </xf>
    <xf numFmtId="0" fontId="115" fillId="0" borderId="0" xfId="0" applyFont="1" applyAlignment="1">
      <alignment horizontal="center" vertical="center"/>
    </xf>
    <xf numFmtId="166" fontId="70" fillId="4" borderId="35" xfId="0" applyNumberFormat="1" applyFont="1" applyFill="1" applyBorder="1" applyAlignment="1">
      <alignment horizontal="center" vertical="center" wrapText="1"/>
    </xf>
    <xf numFmtId="166" fontId="70" fillId="4" borderId="53" xfId="0" applyNumberFormat="1" applyFont="1" applyFill="1" applyBorder="1" applyAlignment="1">
      <alignment horizontal="center" vertical="center" wrapText="1"/>
    </xf>
    <xf numFmtId="0" fontId="70" fillId="4" borderId="20" xfId="0" applyFont="1" applyFill="1" applyBorder="1" applyAlignment="1">
      <alignment horizontal="center" vertical="center" wrapText="1"/>
    </xf>
    <xf numFmtId="0" fontId="77" fillId="4" borderId="53" xfId="0" applyFont="1" applyFill="1" applyBorder="1" applyAlignment="1">
      <alignment horizontal="center" vertical="center" textRotation="90" wrapText="1"/>
    </xf>
    <xf numFmtId="0" fontId="70" fillId="4" borderId="22" xfId="0" applyFont="1" applyFill="1" applyBorder="1" applyAlignment="1">
      <alignment horizontal="center" vertical="center" wrapText="1"/>
    </xf>
    <xf numFmtId="0" fontId="77" fillId="4" borderId="54" xfId="0" applyFont="1" applyFill="1" applyBorder="1" applyAlignment="1">
      <alignment horizontal="center" vertical="center" textRotation="90"/>
    </xf>
    <xf numFmtId="0" fontId="70" fillId="4" borderId="54" xfId="0" applyFont="1" applyFill="1" applyBorder="1" applyAlignment="1">
      <alignment horizontal="center" vertical="center" wrapText="1"/>
    </xf>
    <xf numFmtId="0" fontId="42" fillId="0" borderId="42" xfId="0" applyFont="1" applyBorder="1" applyAlignment="1">
      <alignment horizontal="center" vertical="center" wrapText="1"/>
    </xf>
    <xf numFmtId="173" fontId="73" fillId="0" borderId="10" xfId="0" applyNumberFormat="1" applyFont="1" applyBorder="1" applyAlignment="1">
      <alignment vertical="center"/>
    </xf>
    <xf numFmtId="173" fontId="104" fillId="0" borderId="0" xfId="0" applyNumberFormat="1" applyFont="1" applyAlignment="1">
      <alignment vertical="center"/>
    </xf>
    <xf numFmtId="173" fontId="104" fillId="0" borderId="0" xfId="0" applyNumberFormat="1" applyFont="1" applyAlignment="1">
      <alignment horizontal="right" vertical="center"/>
    </xf>
    <xf numFmtId="0" fontId="61" fillId="0" borderId="0" xfId="0" applyFont="1" applyAlignment="1">
      <alignment horizontal="center" vertical="center" wrapText="1"/>
    </xf>
    <xf numFmtId="0" fontId="61" fillId="0" borderId="0" xfId="0" applyFont="1" applyAlignment="1">
      <alignment horizontal="right" vertical="center" wrapText="1"/>
    </xf>
    <xf numFmtId="173" fontId="104" fillId="0" borderId="0" xfId="0" applyNumberFormat="1" applyFont="1" applyAlignment="1">
      <alignment horizontal="right" vertical="center" wrapText="1"/>
    </xf>
    <xf numFmtId="173" fontId="104" fillId="0" borderId="0" xfId="0" applyNumberFormat="1" applyFont="1" applyAlignment="1">
      <alignment vertical="center" wrapText="1"/>
    </xf>
    <xf numFmtId="0" fontId="42" fillId="0" borderId="43" xfId="0" applyFont="1" applyBorder="1" applyAlignment="1">
      <alignment horizontal="center" vertical="center" wrapText="1"/>
    </xf>
    <xf numFmtId="0" fontId="95" fillId="0" borderId="0" xfId="0" applyFont="1" applyAlignment="1">
      <alignment horizontal="right" vertical="center"/>
    </xf>
    <xf numFmtId="0" fontId="94" fillId="0" borderId="0" xfId="0" applyFont="1" applyAlignment="1">
      <alignment horizontal="right"/>
    </xf>
    <xf numFmtId="0" fontId="5" fillId="5" borderId="55" xfId="0" applyFont="1" applyFill="1" applyBorder="1" applyAlignment="1">
      <alignment vertical="center"/>
    </xf>
    <xf numFmtId="0" fontId="5" fillId="5" borderId="57" xfId="0" applyFont="1" applyFill="1" applyBorder="1" applyAlignment="1">
      <alignment vertical="center"/>
    </xf>
    <xf numFmtId="0" fontId="5" fillId="5" borderId="58" xfId="0" applyFont="1" applyFill="1" applyBorder="1" applyAlignment="1">
      <alignment vertical="center"/>
    </xf>
    <xf numFmtId="0" fontId="5" fillId="5" borderId="59" xfId="0" applyFont="1" applyFill="1" applyBorder="1" applyAlignment="1">
      <alignment vertical="center"/>
    </xf>
    <xf numFmtId="0" fontId="5" fillId="5" borderId="60" xfId="0" applyFont="1" applyFill="1" applyBorder="1" applyAlignment="1">
      <alignment vertical="center"/>
    </xf>
    <xf numFmtId="0" fontId="5" fillId="5" borderId="62" xfId="0" applyFont="1" applyFill="1" applyBorder="1" applyAlignment="1">
      <alignment vertical="center"/>
    </xf>
    <xf numFmtId="0" fontId="152" fillId="0" borderId="0" xfId="0" applyFont="1" applyAlignment="1">
      <alignment vertical="center"/>
    </xf>
    <xf numFmtId="0" fontId="61" fillId="0" borderId="0" xfId="0" applyFont="1" applyAlignment="1">
      <alignment vertical="center"/>
    </xf>
    <xf numFmtId="0" fontId="19" fillId="0" borderId="0" xfId="0" applyFont="1" applyAlignment="1">
      <alignment vertical="center"/>
    </xf>
    <xf numFmtId="0" fontId="61" fillId="0" borderId="0" xfId="0" applyFont="1" applyAlignment="1">
      <alignment horizontal="center" vertical="center"/>
    </xf>
    <xf numFmtId="0" fontId="140"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xf>
    <xf numFmtId="0" fontId="5" fillId="0" borderId="55" xfId="0" applyFont="1" applyBorder="1"/>
    <xf numFmtId="166" fontId="5" fillId="0" borderId="56" xfId="0" applyNumberFormat="1" applyFont="1" applyBorder="1" applyAlignment="1">
      <alignment horizontal="center"/>
    </xf>
    <xf numFmtId="0" fontId="5" fillId="0" borderId="56" xfId="0" applyFont="1" applyBorder="1" applyAlignment="1">
      <alignment horizontal="center"/>
    </xf>
    <xf numFmtId="0" fontId="5" fillId="0" borderId="56" xfId="0" applyFont="1" applyBorder="1"/>
    <xf numFmtId="0" fontId="134" fillId="0" borderId="56" xfId="0" applyFont="1" applyBorder="1" applyAlignment="1">
      <alignment vertical="center"/>
    </xf>
    <xf numFmtId="0" fontId="5" fillId="0" borderId="57" xfId="0" applyFont="1" applyBorder="1"/>
    <xf numFmtId="0" fontId="5" fillId="0" borderId="58" xfId="0" applyFont="1" applyBorder="1"/>
    <xf numFmtId="0" fontId="5" fillId="0" borderId="59" xfId="0" applyFont="1" applyBorder="1"/>
    <xf numFmtId="0" fontId="5" fillId="0" borderId="58" xfId="0" applyFont="1" applyBorder="1" applyAlignment="1">
      <alignment vertical="center"/>
    </xf>
    <xf numFmtId="0" fontId="50" fillId="0" borderId="0" xfId="0" applyFont="1" applyAlignment="1">
      <alignment horizontal="right" vertical="center"/>
    </xf>
    <xf numFmtId="0" fontId="25" fillId="0" borderId="0" xfId="1" applyFont="1" applyFill="1" applyAlignment="1" applyProtection="1">
      <alignment horizontal="left" vertical="center"/>
    </xf>
    <xf numFmtId="0" fontId="39" fillId="0" borderId="0" xfId="0" applyFont="1" applyAlignment="1">
      <alignment vertical="center"/>
    </xf>
    <xf numFmtId="0" fontId="96" fillId="0" borderId="0" xfId="0" applyFont="1" applyAlignment="1">
      <alignment vertical="center"/>
    </xf>
    <xf numFmtId="0" fontId="5" fillId="0" borderId="59" xfId="0" applyFont="1" applyBorder="1" applyAlignment="1">
      <alignment vertical="center"/>
    </xf>
    <xf numFmtId="0" fontId="154" fillId="0" borderId="0" xfId="0" applyFont="1" applyAlignment="1">
      <alignment horizontal="center" vertical="center"/>
    </xf>
    <xf numFmtId="0" fontId="155" fillId="0" borderId="0" xfId="0" applyFont="1" applyAlignment="1">
      <alignment vertical="center"/>
    </xf>
    <xf numFmtId="0" fontId="154" fillId="0" borderId="0" xfId="0" applyFont="1" applyAlignment="1">
      <alignment vertical="center"/>
    </xf>
    <xf numFmtId="0" fontId="149" fillId="0" borderId="0" xfId="0" applyFont="1" applyAlignment="1">
      <alignment vertical="center"/>
    </xf>
    <xf numFmtId="0" fontId="42" fillId="0" borderId="0" xfId="0" applyFont="1" applyAlignment="1">
      <alignment vertical="center"/>
    </xf>
    <xf numFmtId="0" fontId="151" fillId="0" borderId="0" xfId="0" applyFont="1" applyAlignment="1">
      <alignment vertical="center"/>
    </xf>
    <xf numFmtId="0" fontId="103" fillId="0" borderId="0" xfId="0" applyFont="1" applyAlignment="1">
      <alignment vertical="center"/>
    </xf>
    <xf numFmtId="0" fontId="39" fillId="0" borderId="0" xfId="0" applyFont="1" applyAlignment="1">
      <alignment horizontal="left" vertical="center"/>
    </xf>
    <xf numFmtId="0" fontId="34" fillId="0" borderId="0" xfId="0" applyFont="1" applyAlignment="1">
      <alignment vertical="center"/>
    </xf>
    <xf numFmtId="0" fontId="5" fillId="0" borderId="60" xfId="0" applyFont="1" applyBorder="1" applyAlignment="1">
      <alignment vertical="center"/>
    </xf>
    <xf numFmtId="0" fontId="39" fillId="0" borderId="61" xfId="0" applyFont="1" applyBorder="1" applyAlignment="1">
      <alignment horizontal="right" vertical="center"/>
    </xf>
    <xf numFmtId="0" fontId="19" fillId="0" borderId="61" xfId="0" applyFont="1" applyBorder="1" applyAlignment="1">
      <alignment horizontal="left" vertical="center"/>
    </xf>
    <xf numFmtId="0" fontId="5" fillId="0" borderId="61" xfId="0" applyFont="1" applyBorder="1" applyAlignment="1">
      <alignment vertical="center"/>
    </xf>
    <xf numFmtId="0" fontId="5" fillId="0" borderId="62" xfId="0" applyFont="1" applyBorder="1" applyAlignment="1">
      <alignment vertical="center"/>
    </xf>
    <xf numFmtId="0" fontId="21" fillId="0" borderId="0" xfId="0" applyFont="1" applyAlignment="1">
      <alignment horizontal="right" vertical="center"/>
    </xf>
    <xf numFmtId="0" fontId="134" fillId="0" borderId="0" xfId="0" applyFont="1" applyAlignment="1">
      <alignment vertical="center"/>
    </xf>
    <xf numFmtId="166" fontId="71" fillId="0" borderId="11" xfId="0" applyNumberFormat="1" applyFont="1" applyBorder="1" applyAlignment="1">
      <alignment vertical="center" wrapText="1"/>
    </xf>
    <xf numFmtId="166" fontId="71" fillId="0" borderId="0" xfId="0" applyNumberFormat="1" applyFont="1" applyAlignment="1">
      <alignment vertical="center"/>
    </xf>
    <xf numFmtId="166" fontId="71" fillId="0" borderId="10" xfId="0" applyNumberFormat="1" applyFont="1" applyBorder="1" applyAlignment="1">
      <alignment vertical="center"/>
    </xf>
    <xf numFmtId="166" fontId="38" fillId="0" borderId="11" xfId="0" applyNumberFormat="1" applyFont="1" applyBorder="1" applyAlignment="1">
      <alignment horizontal="center" vertical="center"/>
    </xf>
    <xf numFmtId="166" fontId="71" fillId="0" borderId="0" xfId="0" applyNumberFormat="1" applyFont="1" applyAlignment="1">
      <alignment vertical="center" wrapText="1"/>
    </xf>
    <xf numFmtId="166" fontId="77" fillId="4" borderId="5" xfId="0" applyNumberFormat="1" applyFont="1" applyFill="1" applyBorder="1" applyAlignment="1">
      <alignment horizontal="center" vertical="center" wrapText="1"/>
    </xf>
    <xf numFmtId="0" fontId="77" fillId="4" borderId="5" xfId="0" applyFont="1" applyFill="1" applyBorder="1" applyAlignment="1">
      <alignment horizontal="center" vertical="center" wrapText="1"/>
    </xf>
    <xf numFmtId="166" fontId="77" fillId="4" borderId="4" xfId="0" applyNumberFormat="1" applyFont="1" applyFill="1" applyBorder="1" applyAlignment="1">
      <alignment horizontal="center" vertical="center" wrapText="1"/>
    </xf>
    <xf numFmtId="0" fontId="77" fillId="4" borderId="4" xfId="0" applyFont="1" applyFill="1" applyBorder="1" applyAlignment="1">
      <alignment horizontal="center" vertical="center" wrapText="1"/>
    </xf>
    <xf numFmtId="0" fontId="77" fillId="0" borderId="11" xfId="0" applyFont="1" applyBorder="1" applyAlignment="1">
      <alignment horizontal="center" vertical="center" wrapText="1"/>
    </xf>
    <xf numFmtId="0" fontId="77" fillId="0" borderId="0" xfId="0" applyFont="1" applyAlignment="1">
      <alignment horizontal="center" vertical="center" wrapText="1"/>
    </xf>
    <xf numFmtId="0" fontId="77" fillId="0" borderId="10" xfId="0" applyFont="1" applyBorder="1" applyAlignment="1">
      <alignment horizontal="center" vertical="center" wrapText="1"/>
    </xf>
    <xf numFmtId="166" fontId="3" fillId="0" borderId="5" xfId="0" applyNumberFormat="1" applyFont="1" applyBorder="1" applyAlignment="1">
      <alignment horizontal="left" vertical="center" wrapText="1"/>
    </xf>
    <xf numFmtId="1" fontId="3" fillId="8" borderId="4" xfId="0" applyNumberFormat="1" applyFont="1" applyFill="1" applyBorder="1" applyAlignment="1">
      <alignment horizontal="center" vertical="center" wrapText="1"/>
    </xf>
    <xf numFmtId="1" fontId="3" fillId="8" borderId="3" xfId="0" applyNumberFormat="1" applyFont="1" applyFill="1" applyBorder="1" applyAlignment="1">
      <alignment horizontal="center" vertical="center" wrapText="1"/>
    </xf>
    <xf numFmtId="42" fontId="3" fillId="8" borderId="4" xfId="0" applyNumberFormat="1" applyFont="1" applyFill="1" applyBorder="1" applyAlignment="1">
      <alignment vertical="center"/>
    </xf>
    <xf numFmtId="42" fontId="3" fillId="0" borderId="11" xfId="0" applyNumberFormat="1" applyFont="1" applyBorder="1" applyAlignment="1">
      <alignment vertical="center"/>
    </xf>
    <xf numFmtId="42" fontId="3" fillId="0" borderId="0" xfId="0" applyNumberFormat="1" applyFont="1" applyAlignment="1">
      <alignment vertical="center"/>
    </xf>
    <xf numFmtId="42" fontId="3" fillId="0" borderId="10" xfId="0" applyNumberFormat="1" applyFont="1" applyBorder="1" applyAlignment="1">
      <alignment vertical="center"/>
    </xf>
    <xf numFmtId="176" fontId="3" fillId="0" borderId="0" xfId="0" applyNumberFormat="1" applyFont="1" applyAlignment="1">
      <alignment vertical="center"/>
    </xf>
    <xf numFmtId="166" fontId="3" fillId="0" borderId="5" xfId="0" applyNumberFormat="1" applyFont="1" applyBorder="1" applyAlignment="1">
      <alignment vertical="center" wrapText="1"/>
    </xf>
    <xf numFmtId="176" fontId="109" fillId="0" borderId="0" xfId="0" applyNumberFormat="1" applyFont="1" applyAlignment="1">
      <alignment vertical="center"/>
    </xf>
    <xf numFmtId="4" fontId="5" fillId="0" borderId="0" xfId="0" applyNumberFormat="1" applyFont="1" applyAlignment="1">
      <alignment horizontal="center" vertical="center"/>
    </xf>
    <xf numFmtId="42" fontId="109" fillId="0" borderId="11" xfId="0" applyNumberFormat="1" applyFont="1" applyBorder="1" applyAlignment="1">
      <alignment vertical="center"/>
    </xf>
    <xf numFmtId="0" fontId="81" fillId="8" borderId="1" xfId="0" applyFont="1" applyFill="1" applyBorder="1" applyAlignment="1">
      <alignment vertical="center"/>
    </xf>
    <xf numFmtId="166" fontId="3" fillId="0" borderId="5" xfId="0" applyNumberFormat="1" applyFont="1" applyBorder="1" applyAlignment="1">
      <alignment horizontal="left" vertical="center"/>
    </xf>
    <xf numFmtId="166" fontId="3" fillId="0" borderId="0" xfId="0" applyNumberFormat="1" applyFont="1" applyAlignment="1">
      <alignment horizontal="left" vertical="center" wrapText="1"/>
    </xf>
    <xf numFmtId="42" fontId="3" fillId="0" borderId="0" xfId="0" applyNumberFormat="1" applyFont="1" applyAlignment="1">
      <alignment horizontal="center" vertical="center"/>
    </xf>
    <xf numFmtId="1" fontId="3" fillId="0" borderId="0" xfId="0" applyNumberFormat="1" applyFont="1" applyAlignment="1">
      <alignment horizontal="center" vertical="center" wrapText="1"/>
    </xf>
    <xf numFmtId="42" fontId="81" fillId="0" borderId="11" xfId="0" applyNumberFormat="1" applyFont="1" applyBorder="1" applyAlignment="1">
      <alignment horizontal="center" vertical="center"/>
    </xf>
    <xf numFmtId="42" fontId="81" fillId="0" borderId="0" xfId="0" applyNumberFormat="1" applyFont="1" applyAlignment="1">
      <alignment horizontal="center" vertical="center"/>
    </xf>
    <xf numFmtId="42" fontId="81" fillId="0" borderId="10" xfId="0" applyNumberFormat="1" applyFont="1" applyBorder="1" applyAlignment="1">
      <alignment horizontal="center" vertical="center"/>
    </xf>
    <xf numFmtId="166" fontId="5" fillId="0" borderId="13" xfId="0" applyNumberFormat="1" applyFont="1" applyBorder="1" applyAlignment="1">
      <alignment horizontal="center"/>
    </xf>
    <xf numFmtId="0" fontId="75" fillId="0" borderId="0" xfId="0" applyFont="1" applyAlignment="1">
      <alignment vertical="center"/>
    </xf>
    <xf numFmtId="0" fontId="75" fillId="0" borderId="0" xfId="0" applyFont="1" applyAlignment="1">
      <alignment horizontal="left" vertical="center"/>
    </xf>
    <xf numFmtId="0" fontId="75" fillId="0" borderId="0" xfId="0" applyFont="1" applyAlignment="1">
      <alignment horizontal="center" vertical="center"/>
    </xf>
    <xf numFmtId="166" fontId="5" fillId="0" borderId="0" xfId="0" applyNumberFormat="1" applyFont="1" applyAlignment="1">
      <alignment horizontal="left"/>
    </xf>
    <xf numFmtId="2" fontId="5" fillId="0" borderId="0" xfId="0" applyNumberFormat="1" applyFont="1"/>
    <xf numFmtId="0" fontId="28" fillId="0" borderId="0" xfId="0" applyFont="1" applyAlignment="1">
      <alignment vertical="center"/>
    </xf>
    <xf numFmtId="171" fontId="62" fillId="0" borderId="0" xfId="0" applyNumberFormat="1" applyFont="1" applyAlignment="1">
      <alignment vertical="center"/>
    </xf>
    <xf numFmtId="0" fontId="41" fillId="7" borderId="23" xfId="0" applyFont="1" applyFill="1" applyBorder="1" applyAlignment="1">
      <alignment vertical="center"/>
    </xf>
    <xf numFmtId="0" fontId="41" fillId="7" borderId="6" xfId="0" applyFont="1" applyFill="1" applyBorder="1" applyAlignment="1">
      <alignment vertical="center"/>
    </xf>
    <xf numFmtId="0" fontId="5" fillId="0" borderId="10" xfId="0" applyFont="1" applyBorder="1" applyAlignment="1">
      <alignment wrapText="1"/>
    </xf>
    <xf numFmtId="0" fontId="41" fillId="7" borderId="22" xfId="0" applyFont="1" applyFill="1" applyBorder="1" applyAlignment="1">
      <alignment vertical="center"/>
    </xf>
    <xf numFmtId="0" fontId="29" fillId="0" borderId="0" xfId="0" applyFont="1" applyAlignment="1">
      <alignment horizontal="center" vertical="center" wrapText="1"/>
    </xf>
    <xf numFmtId="0" fontId="35" fillId="0" borderId="0" xfId="0" applyFont="1" applyAlignment="1">
      <alignment horizontal="center" vertical="center" wrapText="1"/>
    </xf>
    <xf numFmtId="0" fontId="67" fillId="0" borderId="0" xfId="0" applyFont="1" applyAlignment="1">
      <alignment vertical="center"/>
    </xf>
    <xf numFmtId="0" fontId="35" fillId="0" borderId="0" xfId="0" quotePrefix="1" applyFont="1" applyAlignment="1">
      <alignment vertical="center" wrapText="1"/>
    </xf>
    <xf numFmtId="0" fontId="35" fillId="0" borderId="0" xfId="0" quotePrefix="1" applyFont="1" applyAlignment="1">
      <alignment horizontal="center" vertical="center" wrapText="1"/>
    </xf>
    <xf numFmtId="166" fontId="70" fillId="6" borderId="4" xfId="0" applyNumberFormat="1" applyFont="1" applyFill="1" applyBorder="1" applyAlignment="1">
      <alignment horizontal="center" vertical="center" wrapText="1"/>
    </xf>
    <xf numFmtId="0" fontId="70" fillId="6" borderId="4" xfId="0" applyFont="1" applyFill="1" applyBorder="1" applyAlignment="1">
      <alignment horizontal="center" vertical="center" wrapText="1"/>
    </xf>
    <xf numFmtId="0" fontId="70" fillId="6" borderId="4" xfId="0" applyFont="1" applyFill="1" applyBorder="1" applyAlignment="1">
      <alignment horizontal="center" vertical="center" textRotation="90"/>
    </xf>
    <xf numFmtId="0" fontId="70" fillId="6" borderId="5" xfId="0" applyFont="1" applyFill="1" applyBorder="1" applyAlignment="1">
      <alignment horizontal="center" vertical="center" wrapText="1"/>
    </xf>
    <xf numFmtId="0" fontId="72" fillId="6" borderId="4" xfId="0" applyFont="1" applyFill="1" applyBorder="1" applyAlignment="1">
      <alignment horizontal="center" vertical="center" textRotation="90" wrapText="1"/>
    </xf>
    <xf numFmtId="0" fontId="70" fillId="6" borderId="4" xfId="0" applyFont="1" applyFill="1" applyBorder="1" applyAlignment="1">
      <alignment horizontal="center" vertical="center"/>
    </xf>
    <xf numFmtId="166" fontId="35" fillId="0" borderId="0" xfId="0" applyNumberFormat="1" applyFont="1" applyAlignment="1">
      <alignment horizontal="center" vertical="center" wrapText="1"/>
    </xf>
    <xf numFmtId="166" fontId="35" fillId="0" borderId="0" xfId="0" applyNumberFormat="1" applyFont="1" applyAlignment="1">
      <alignment vertical="center" wrapText="1"/>
    </xf>
    <xf numFmtId="0" fontId="10" fillId="0" borderId="10" xfId="0" applyFont="1" applyBorder="1" applyAlignment="1">
      <alignment vertical="center"/>
    </xf>
    <xf numFmtId="166" fontId="26" fillId="6" borderId="32" xfId="0" quotePrefix="1" applyNumberFormat="1" applyFont="1" applyFill="1" applyBorder="1" applyAlignment="1">
      <alignment horizontal="left" vertical="center"/>
    </xf>
    <xf numFmtId="0" fontId="10" fillId="0" borderId="11"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0" fillId="0" borderId="0" xfId="0" applyFont="1" applyAlignment="1">
      <alignment horizontal="center" vertical="center"/>
    </xf>
    <xf numFmtId="166" fontId="70" fillId="6" borderId="41" xfId="0" applyNumberFormat="1" applyFont="1" applyFill="1" applyBorder="1" applyAlignment="1">
      <alignment horizontal="center" vertical="center" wrapText="1"/>
    </xf>
    <xf numFmtId="166" fontId="70" fillId="6" borderId="51" xfId="0" applyNumberFormat="1" applyFont="1" applyFill="1" applyBorder="1" applyAlignment="1">
      <alignment horizontal="center" vertical="center" wrapText="1"/>
    </xf>
    <xf numFmtId="0" fontId="70" fillId="6" borderId="26" xfId="0" applyFont="1" applyFill="1" applyBorder="1" applyAlignment="1">
      <alignment horizontal="center" vertical="center" wrapText="1"/>
    </xf>
    <xf numFmtId="0" fontId="70" fillId="6" borderId="52" xfId="0" applyFont="1" applyFill="1" applyBorder="1" applyAlignment="1">
      <alignment horizontal="center" vertical="center" wrapText="1"/>
    </xf>
    <xf numFmtId="0" fontId="70" fillId="6" borderId="51"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7" fillId="6" borderId="51" xfId="0" applyFont="1" applyFill="1" applyBorder="1" applyAlignment="1">
      <alignment horizontal="center" vertical="center" wrapText="1"/>
    </xf>
    <xf numFmtId="0" fontId="77" fillId="6" borderId="26" xfId="0" applyFont="1" applyFill="1" applyBorder="1" applyAlignment="1">
      <alignment horizontal="center" vertical="center" wrapText="1"/>
    </xf>
    <xf numFmtId="0" fontId="77" fillId="6" borderId="52" xfId="0" applyFont="1" applyFill="1" applyBorder="1" applyAlignment="1">
      <alignment horizontal="center" vertical="center" textRotation="90"/>
    </xf>
    <xf numFmtId="0" fontId="77" fillId="6" borderId="51" xfId="0" applyFont="1" applyFill="1" applyBorder="1" applyAlignment="1">
      <alignment horizontal="center" vertical="center" textRotation="90" wrapText="1"/>
    </xf>
    <xf numFmtId="166" fontId="70" fillId="6" borderId="35" xfId="0" applyNumberFormat="1" applyFont="1" applyFill="1" applyBorder="1" applyAlignment="1">
      <alignment horizontal="center" vertical="center" wrapText="1"/>
    </xf>
    <xf numFmtId="166" fontId="70" fillId="6" borderId="53" xfId="0" applyNumberFormat="1" applyFont="1" applyFill="1" applyBorder="1" applyAlignment="1">
      <alignment horizontal="center" vertical="center" wrapText="1"/>
    </xf>
    <xf numFmtId="0" fontId="70" fillId="6" borderId="20" xfId="0" applyFont="1" applyFill="1" applyBorder="1" applyAlignment="1">
      <alignment horizontal="center" vertical="center" wrapText="1"/>
    </xf>
    <xf numFmtId="0" fontId="77" fillId="6" borderId="54" xfId="0" applyFont="1" applyFill="1" applyBorder="1" applyAlignment="1">
      <alignment horizontal="center" vertical="center" textRotation="90"/>
    </xf>
    <xf numFmtId="0" fontId="77" fillId="6" borderId="53" xfId="0" applyFont="1" applyFill="1" applyBorder="1" applyAlignment="1">
      <alignment horizontal="center" vertical="center" textRotation="90" wrapText="1"/>
    </xf>
    <xf numFmtId="0" fontId="70" fillId="6" borderId="22" xfId="0" applyFont="1" applyFill="1" applyBorder="1" applyAlignment="1">
      <alignment horizontal="center" vertical="center" wrapText="1"/>
    </xf>
    <xf numFmtId="0" fontId="70" fillId="6" borderId="54" xfId="0" applyFont="1" applyFill="1" applyBorder="1" applyAlignment="1">
      <alignment horizontal="center" vertical="center" wrapText="1"/>
    </xf>
    <xf numFmtId="0" fontId="5" fillId="7" borderId="7" xfId="0" applyFont="1" applyFill="1" applyBorder="1" applyAlignment="1">
      <alignment vertical="center"/>
    </xf>
    <xf numFmtId="0" fontId="5" fillId="7" borderId="9" xfId="0" applyFont="1" applyFill="1" applyBorder="1" applyAlignment="1">
      <alignment vertical="center"/>
    </xf>
    <xf numFmtId="0" fontId="5" fillId="7" borderId="10" xfId="0" applyFont="1" applyFill="1" applyBorder="1" applyAlignment="1">
      <alignment vertical="center"/>
    </xf>
    <xf numFmtId="0" fontId="5" fillId="7" borderId="11" xfId="0" applyFont="1" applyFill="1" applyBorder="1" applyAlignment="1">
      <alignment vertical="center"/>
    </xf>
    <xf numFmtId="0" fontId="5" fillId="7" borderId="12" xfId="0" applyFont="1" applyFill="1" applyBorder="1" applyAlignment="1">
      <alignment vertical="center"/>
    </xf>
    <xf numFmtId="0" fontId="5" fillId="7" borderId="14" xfId="0" applyFont="1" applyFill="1" applyBorder="1" applyAlignment="1">
      <alignment vertical="center"/>
    </xf>
    <xf numFmtId="166" fontId="38" fillId="0" borderId="59" xfId="0" applyNumberFormat="1" applyFont="1" applyBorder="1" applyAlignment="1">
      <alignment vertical="center"/>
    </xf>
    <xf numFmtId="166" fontId="50" fillId="0" borderId="0" xfId="0" applyNumberFormat="1" applyFont="1" applyAlignment="1">
      <alignment horizontal="right" vertical="center"/>
    </xf>
    <xf numFmtId="0" fontId="96" fillId="0" borderId="59" xfId="0" applyFont="1" applyBorder="1" applyAlignment="1">
      <alignment vertical="center"/>
    </xf>
    <xf numFmtId="166" fontId="144" fillId="0" borderId="0" xfId="0" applyNumberFormat="1" applyFont="1" applyAlignment="1">
      <alignment horizontal="center" vertical="center"/>
    </xf>
    <xf numFmtId="166" fontId="39" fillId="0" borderId="0" xfId="0" applyNumberFormat="1" applyFont="1" applyAlignment="1">
      <alignment horizontal="right" vertical="center"/>
    </xf>
    <xf numFmtId="166" fontId="5" fillId="0" borderId="61" xfId="0" applyNumberFormat="1" applyFont="1" applyBorder="1" applyAlignment="1">
      <alignment horizontal="center" vertical="center"/>
    </xf>
    <xf numFmtId="0" fontId="5" fillId="0" borderId="61" xfId="0" applyFont="1" applyBorder="1" applyAlignment="1">
      <alignment horizontal="center" vertical="center"/>
    </xf>
    <xf numFmtId="166" fontId="77" fillId="6" borderId="5" xfId="0" applyNumberFormat="1" applyFont="1" applyFill="1" applyBorder="1" applyAlignment="1">
      <alignment horizontal="center" vertical="center" wrapText="1"/>
    </xf>
    <xf numFmtId="0" fontId="77" fillId="6" borderId="5" xfId="0" applyFont="1" applyFill="1" applyBorder="1" applyAlignment="1">
      <alignment horizontal="center" vertical="center" wrapText="1"/>
    </xf>
    <xf numFmtId="166" fontId="77" fillId="6" borderId="4" xfId="0" applyNumberFormat="1" applyFont="1" applyFill="1" applyBorder="1" applyAlignment="1">
      <alignment horizontal="center" vertical="center" wrapText="1"/>
    </xf>
    <xf numFmtId="166" fontId="77" fillId="6" borderId="2" xfId="0" applyNumberFormat="1" applyFont="1" applyFill="1" applyBorder="1" applyAlignment="1">
      <alignment horizontal="center" vertical="center" wrapText="1"/>
    </xf>
    <xf numFmtId="0" fontId="77" fillId="6" borderId="4" xfId="0" applyFont="1" applyFill="1" applyBorder="1" applyAlignment="1">
      <alignment horizontal="center" vertical="center" wrapText="1"/>
    </xf>
    <xf numFmtId="167" fontId="3" fillId="0" borderId="0" xfId="0" applyNumberFormat="1" applyFont="1" applyAlignment="1">
      <alignment vertical="center"/>
    </xf>
    <xf numFmtId="1" fontId="3" fillId="8" borderId="23" xfId="0" applyNumberFormat="1" applyFont="1" applyFill="1" applyBorder="1" applyAlignment="1">
      <alignment horizontal="center" vertical="center" wrapText="1"/>
    </xf>
    <xf numFmtId="1" fontId="3" fillId="8" borderId="18" xfId="0" applyNumberFormat="1" applyFont="1" applyFill="1" applyBorder="1" applyAlignment="1">
      <alignment horizontal="center" vertical="center" wrapText="1"/>
    </xf>
    <xf numFmtId="1" fontId="3" fillId="8" borderId="6" xfId="0" applyNumberFormat="1" applyFont="1" applyFill="1" applyBorder="1" applyAlignment="1">
      <alignment horizontal="center" vertical="center" wrapText="1"/>
    </xf>
    <xf numFmtId="1" fontId="3" fillId="8" borderId="25" xfId="0" applyNumberFormat="1" applyFont="1" applyFill="1" applyBorder="1" applyAlignment="1">
      <alignment horizontal="center" vertical="center" wrapText="1"/>
    </xf>
    <xf numFmtId="0" fontId="69" fillId="0" borderId="10" xfId="0" applyFont="1" applyBorder="1" applyAlignment="1">
      <alignment vertical="center"/>
    </xf>
    <xf numFmtId="0" fontId="69" fillId="0" borderId="0" xfId="0" applyFont="1" applyAlignment="1">
      <alignment horizontal="center" vertical="center"/>
    </xf>
    <xf numFmtId="0" fontId="129" fillId="0" borderId="0" xfId="0" applyFont="1" applyAlignment="1">
      <alignment vertical="center"/>
    </xf>
    <xf numFmtId="0" fontId="75" fillId="0" borderId="8" xfId="0" applyFont="1" applyBorder="1" applyAlignment="1">
      <alignment vertical="center"/>
    </xf>
    <xf numFmtId="42" fontId="109" fillId="0" borderId="0" xfId="0" applyNumberFormat="1" applyFont="1" applyAlignment="1">
      <alignment horizontal="right" vertical="center"/>
    </xf>
    <xf numFmtId="167" fontId="109" fillId="0" borderId="0" xfId="0" applyNumberFormat="1" applyFont="1" applyAlignment="1">
      <alignment vertical="center"/>
    </xf>
    <xf numFmtId="0" fontId="113" fillId="0" borderId="0" xfId="0" applyFont="1" applyAlignment="1">
      <alignment vertical="center"/>
    </xf>
    <xf numFmtId="177" fontId="61" fillId="0" borderId="4" xfId="0" applyNumberFormat="1" applyFont="1" applyBorder="1" applyAlignment="1" applyProtection="1">
      <alignment horizontal="center" vertical="center" wrapText="1"/>
      <protection locked="0"/>
    </xf>
    <xf numFmtId="177" fontId="3" fillId="7" borderId="4" xfId="0" applyNumberFormat="1" applyFont="1" applyFill="1" applyBorder="1" applyAlignment="1" applyProtection="1">
      <alignment horizontal="center" vertical="center"/>
      <protection locked="0"/>
    </xf>
    <xf numFmtId="0" fontId="28" fillId="0" borderId="0" xfId="0" applyFont="1" applyAlignment="1">
      <alignment horizontal="center" vertical="center" wrapText="1"/>
    </xf>
    <xf numFmtId="166" fontId="163" fillId="7" borderId="4" xfId="1" applyNumberFormat="1" applyFont="1" applyFill="1" applyBorder="1" applyAlignment="1" applyProtection="1">
      <alignment horizontal="center" vertical="center"/>
    </xf>
    <xf numFmtId="0" fontId="5" fillId="0" borderId="17" xfId="0" applyFont="1" applyBorder="1" applyAlignment="1">
      <alignment vertical="center"/>
    </xf>
    <xf numFmtId="0" fontId="34" fillId="0" borderId="17" xfId="0" applyFont="1" applyBorder="1" applyAlignment="1">
      <alignment horizontal="right" vertical="center"/>
    </xf>
    <xf numFmtId="168" fontId="34" fillId="0" borderId="18" xfId="0" applyNumberFormat="1" applyFont="1" applyBorder="1" applyAlignment="1">
      <alignment horizontal="center" vertical="center"/>
    </xf>
    <xf numFmtId="0" fontId="34" fillId="0" borderId="0" xfId="0" applyFont="1" applyAlignment="1">
      <alignment horizontal="right" vertical="center"/>
    </xf>
    <xf numFmtId="168" fontId="34" fillId="0" borderId="25" xfId="0" applyNumberFormat="1" applyFont="1" applyBorder="1" applyAlignment="1">
      <alignment horizontal="center" vertical="center"/>
    </xf>
    <xf numFmtId="0" fontId="4" fillId="0" borderId="6" xfId="0" applyFont="1" applyBorder="1" applyAlignment="1">
      <alignment vertical="center"/>
    </xf>
    <xf numFmtId="169" fontId="34" fillId="0" borderId="0" xfId="0" applyNumberFormat="1" applyFont="1" applyAlignment="1">
      <alignment horizontal="center" vertical="center"/>
    </xf>
    <xf numFmtId="0" fontId="28" fillId="0" borderId="25" xfId="0" applyFont="1" applyBorder="1" applyAlignment="1">
      <alignment horizontal="center" vertical="center" wrapText="1"/>
    </xf>
    <xf numFmtId="0" fontId="29" fillId="0" borderId="22" xfId="0" applyFont="1" applyBorder="1" applyAlignment="1">
      <alignment horizontal="left"/>
    </xf>
    <xf numFmtId="0" fontId="29" fillId="0" borderId="1" xfId="0" applyFont="1" applyBorder="1" applyAlignment="1">
      <alignment horizontal="left"/>
    </xf>
    <xf numFmtId="0" fontId="5" fillId="0" borderId="1" xfId="0" applyFont="1" applyBorder="1"/>
    <xf numFmtId="9" fontId="29" fillId="0" borderId="1" xfId="0" applyNumberFormat="1" applyFont="1" applyBorder="1" applyAlignment="1">
      <alignment horizontal="center" vertical="center"/>
    </xf>
    <xf numFmtId="0" fontId="5" fillId="0" borderId="1" xfId="0" applyFont="1" applyBorder="1" applyAlignment="1">
      <alignment vertical="center"/>
    </xf>
    <xf numFmtId="164" fontId="29" fillId="0" borderId="1" xfId="0" applyNumberFormat="1" applyFont="1" applyBorder="1" applyAlignment="1">
      <alignment horizontal="center" vertical="center"/>
    </xf>
    <xf numFmtId="9" fontId="42" fillId="0" borderId="15" xfId="0" applyNumberFormat="1" applyFont="1" applyBorder="1" applyAlignment="1" applyProtection="1">
      <alignment horizontal="center" vertical="center"/>
      <protection locked="0"/>
    </xf>
    <xf numFmtId="164" fontId="42" fillId="0" borderId="67" xfId="0" applyNumberFormat="1" applyFont="1" applyBorder="1" applyAlignment="1">
      <alignment horizontal="center" vertical="center"/>
    </xf>
    <xf numFmtId="166" fontId="164" fillId="7" borderId="4" xfId="1" applyNumberFormat="1" applyFont="1" applyFill="1" applyBorder="1" applyAlignment="1" applyProtection="1">
      <alignment horizontal="center" vertical="center"/>
    </xf>
    <xf numFmtId="0" fontId="165" fillId="0" borderId="0" xfId="0" applyFont="1" applyAlignment="1">
      <alignment vertical="center"/>
    </xf>
    <xf numFmtId="0" fontId="60" fillId="0" borderId="0" xfId="0" applyFont="1" applyAlignment="1">
      <alignment horizontal="center" vertical="center"/>
    </xf>
    <xf numFmtId="42" fontId="61" fillId="0" borderId="69" xfId="0" applyNumberFormat="1" applyFont="1" applyBorder="1" applyAlignment="1" applyProtection="1">
      <alignment vertical="center"/>
      <protection locked="0"/>
    </xf>
    <xf numFmtId="0" fontId="61" fillId="0" borderId="23" xfId="0" applyFont="1" applyBorder="1" applyAlignment="1" applyProtection="1">
      <alignment horizontal="left" vertical="center" wrapText="1"/>
      <protection locked="0"/>
    </xf>
    <xf numFmtId="42" fontId="80" fillId="8" borderId="71" xfId="0" applyNumberFormat="1" applyFont="1" applyFill="1" applyBorder="1" applyAlignment="1">
      <alignment vertical="center"/>
    </xf>
    <xf numFmtId="3" fontId="80" fillId="0" borderId="72" xfId="0" applyNumberFormat="1" applyFont="1" applyBorder="1" applyAlignment="1">
      <alignment horizontal="center" vertical="center" wrapText="1"/>
    </xf>
    <xf numFmtId="42" fontId="80" fillId="8" borderId="73" xfId="0" applyNumberFormat="1" applyFont="1" applyFill="1" applyBorder="1" applyAlignment="1">
      <alignment vertical="center"/>
    </xf>
    <xf numFmtId="3" fontId="61" fillId="0" borderId="19" xfId="0" applyNumberFormat="1" applyFont="1" applyBorder="1" applyAlignment="1" applyProtection="1">
      <alignment horizontal="center" vertical="center" wrapText="1"/>
      <protection locked="0"/>
    </xf>
    <xf numFmtId="0" fontId="42" fillId="0" borderId="75" xfId="0" applyFont="1" applyBorder="1" applyAlignment="1">
      <alignment horizontal="center" vertical="center" wrapText="1"/>
    </xf>
    <xf numFmtId="172" fontId="61" fillId="0" borderId="69" xfId="0" applyNumberFormat="1" applyFont="1" applyBorder="1" applyAlignment="1" applyProtection="1">
      <alignment horizontal="left" vertical="center" wrapText="1"/>
      <protection locked="0"/>
    </xf>
    <xf numFmtId="0" fontId="61" fillId="0" borderId="19" xfId="0" applyFont="1" applyBorder="1" applyAlignment="1" applyProtection="1">
      <alignment vertical="center" wrapText="1"/>
      <protection locked="0"/>
    </xf>
    <xf numFmtId="0" fontId="61" fillId="0" borderId="70" xfId="0" applyFont="1" applyBorder="1" applyAlignment="1" applyProtection="1">
      <alignment horizontal="center" vertical="center" wrapText="1"/>
      <protection locked="0"/>
    </xf>
    <xf numFmtId="0" fontId="42" fillId="0" borderId="45" xfId="0" applyFont="1" applyBorder="1" applyAlignment="1">
      <alignment horizontal="center" vertical="center" wrapText="1"/>
    </xf>
    <xf numFmtId="0" fontId="5" fillId="0" borderId="46" xfId="0" applyFont="1" applyBorder="1" applyAlignment="1">
      <alignment vertical="center"/>
    </xf>
    <xf numFmtId="0" fontId="80" fillId="0" borderId="47" xfId="0" applyFont="1" applyBorder="1" applyAlignment="1">
      <alignment horizontal="right" vertical="center"/>
    </xf>
    <xf numFmtId="0" fontId="42" fillId="0" borderId="19" xfId="0" applyFont="1" applyBorder="1" applyAlignment="1">
      <alignment horizontal="center" vertical="center" wrapText="1"/>
    </xf>
    <xf numFmtId="177" fontId="61" fillId="0" borderId="19" xfId="0" applyNumberFormat="1" applyFont="1" applyBorder="1" applyAlignment="1" applyProtection="1">
      <alignment horizontal="center" vertical="center" wrapText="1"/>
      <protection locked="0"/>
    </xf>
    <xf numFmtId="0" fontId="61" fillId="0" borderId="19" xfId="0" applyFont="1" applyBorder="1" applyAlignment="1" applyProtection="1">
      <alignment horizontal="center" vertical="center" wrapText="1"/>
      <protection locked="0"/>
    </xf>
    <xf numFmtId="0" fontId="61" fillId="0" borderId="19" xfId="0" applyFont="1" applyBorder="1" applyAlignment="1" applyProtection="1">
      <alignment horizontal="left" vertical="center" wrapText="1"/>
      <protection locked="0"/>
    </xf>
    <xf numFmtId="173" fontId="13" fillId="0" borderId="23" xfId="0" applyNumberFormat="1" applyFont="1" applyBorder="1" applyAlignment="1" applyProtection="1">
      <alignment horizontal="left" vertical="center" wrapText="1"/>
      <protection locked="0"/>
    </xf>
    <xf numFmtId="42" fontId="61" fillId="0" borderId="19" xfId="0" applyNumberFormat="1" applyFont="1" applyBorder="1" applyAlignment="1" applyProtection="1">
      <alignment vertical="center" wrapText="1"/>
      <protection locked="0"/>
    </xf>
    <xf numFmtId="3" fontId="80" fillId="8" borderId="76" xfId="0" applyNumberFormat="1" applyFont="1" applyFill="1" applyBorder="1" applyAlignment="1">
      <alignment horizontal="center" vertical="center" wrapText="1"/>
    </xf>
    <xf numFmtId="175" fontId="80" fillId="8" borderId="76" xfId="0" applyNumberFormat="1" applyFont="1" applyFill="1" applyBorder="1" applyAlignment="1">
      <alignment vertical="center" wrapText="1"/>
    </xf>
    <xf numFmtId="175" fontId="80" fillId="8" borderId="73" xfId="0" applyNumberFormat="1" applyFont="1" applyFill="1" applyBorder="1" applyAlignment="1">
      <alignment vertical="center" wrapText="1"/>
    </xf>
    <xf numFmtId="166" fontId="3" fillId="0" borderId="23" xfId="0" applyNumberFormat="1" applyFont="1" applyBorder="1" applyAlignment="1">
      <alignment vertical="center" wrapText="1"/>
    </xf>
    <xf numFmtId="42" fontId="3" fillId="0" borderId="19" xfId="0" applyNumberFormat="1" applyFont="1" applyBorder="1" applyAlignment="1" applyProtection="1">
      <alignment horizontal="center" vertical="center"/>
      <protection locked="0"/>
    </xf>
    <xf numFmtId="0" fontId="81" fillId="0" borderId="45" xfId="0" applyFont="1" applyBorder="1" applyAlignment="1">
      <alignment horizontal="right" vertical="center"/>
    </xf>
    <xf numFmtId="42" fontId="81" fillId="8" borderId="73" xfId="0" applyNumberFormat="1" applyFont="1" applyFill="1" applyBorder="1" applyAlignment="1">
      <alignment horizontal="center" vertical="center"/>
    </xf>
    <xf numFmtId="42" fontId="3" fillId="8" borderId="19" xfId="0" applyNumberFormat="1" applyFont="1" applyFill="1" applyBorder="1" applyAlignment="1">
      <alignment vertical="center"/>
    </xf>
    <xf numFmtId="42" fontId="81" fillId="8" borderId="68" xfId="0" applyNumberFormat="1" applyFont="1" applyFill="1" applyBorder="1" applyAlignment="1">
      <alignment horizontal="center" vertical="center"/>
    </xf>
    <xf numFmtId="3" fontId="3" fillId="0" borderId="19" xfId="0" applyNumberFormat="1" applyFont="1" applyBorder="1" applyAlignment="1" applyProtection="1">
      <alignment horizontal="center" vertical="center"/>
      <protection locked="0"/>
    </xf>
    <xf numFmtId="167" fontId="3" fillId="0" borderId="19" xfId="0" applyNumberFormat="1" applyFont="1" applyBorder="1" applyAlignment="1" applyProtection="1">
      <alignment horizontal="center" vertical="center"/>
      <protection locked="0"/>
    </xf>
    <xf numFmtId="0" fontId="7" fillId="0" borderId="71" xfId="0" applyFont="1" applyBorder="1" applyAlignment="1">
      <alignment horizontal="right" vertical="center"/>
    </xf>
    <xf numFmtId="3" fontId="81" fillId="8" borderId="76" xfId="0" applyNumberFormat="1" applyFont="1" applyFill="1" applyBorder="1" applyAlignment="1">
      <alignment horizontal="center" vertical="center"/>
    </xf>
    <xf numFmtId="42" fontId="109" fillId="8" borderId="72" xfId="0" applyNumberFormat="1" applyFont="1" applyFill="1" applyBorder="1" applyAlignment="1">
      <alignment horizontal="right" vertical="center"/>
    </xf>
    <xf numFmtId="42" fontId="109" fillId="8" borderId="76" xfId="0" applyNumberFormat="1" applyFont="1" applyFill="1" applyBorder="1" applyAlignment="1">
      <alignment vertical="center"/>
    </xf>
    <xf numFmtId="42" fontId="109" fillId="8" borderId="73" xfId="0" applyNumberFormat="1" applyFont="1" applyFill="1" applyBorder="1" applyAlignment="1">
      <alignment vertical="center"/>
    </xf>
    <xf numFmtId="37" fontId="3" fillId="0" borderId="23" xfId="0" applyNumberFormat="1" applyFont="1" applyBorder="1" applyAlignment="1" applyProtection="1">
      <alignment horizontal="center" vertical="center" wrapText="1"/>
      <protection locked="0"/>
    </xf>
    <xf numFmtId="3" fontId="81" fillId="8" borderId="72" xfId="0" applyNumberFormat="1" applyFont="1" applyFill="1" applyBorder="1" applyAlignment="1">
      <alignment horizontal="center" vertical="center"/>
    </xf>
    <xf numFmtId="42" fontId="80" fillId="8" borderId="76" xfId="0" applyNumberFormat="1" applyFont="1" applyFill="1" applyBorder="1" applyAlignment="1">
      <alignment vertical="center" wrapText="1"/>
    </xf>
    <xf numFmtId="42" fontId="80" fillId="8" borderId="73" xfId="0" applyNumberFormat="1" applyFont="1" applyFill="1" applyBorder="1" applyAlignment="1">
      <alignment vertical="center" wrapText="1"/>
    </xf>
    <xf numFmtId="177" fontId="3" fillId="7" borderId="19" xfId="0" applyNumberFormat="1" applyFont="1" applyFill="1" applyBorder="1" applyAlignment="1" applyProtection="1">
      <alignment horizontal="center" vertical="center"/>
      <protection locked="0"/>
    </xf>
    <xf numFmtId="0" fontId="3" fillId="7" borderId="19" xfId="0" applyFont="1" applyFill="1" applyBorder="1" applyAlignment="1" applyProtection="1">
      <alignment vertical="center" wrapText="1"/>
      <protection locked="0"/>
    </xf>
    <xf numFmtId="0" fontId="3" fillId="7" borderId="19" xfId="0" applyFont="1" applyFill="1" applyBorder="1" applyAlignment="1" applyProtection="1">
      <alignment horizontal="center" vertical="center"/>
      <protection locked="0"/>
    </xf>
    <xf numFmtId="0" fontId="3" fillId="7" borderId="19" xfId="0" applyFont="1" applyFill="1" applyBorder="1" applyAlignment="1" applyProtection="1">
      <alignment horizontal="left" vertical="center" wrapText="1"/>
      <protection locked="0"/>
    </xf>
    <xf numFmtId="3" fontId="3" fillId="7" borderId="19" xfId="0" applyNumberFormat="1" applyFont="1" applyFill="1" applyBorder="1" applyAlignment="1" applyProtection="1">
      <alignment horizontal="center" vertical="center"/>
      <protection locked="0"/>
    </xf>
    <xf numFmtId="42" fontId="3" fillId="7" borderId="19" xfId="0" applyNumberFormat="1" applyFont="1" applyFill="1" applyBorder="1" applyAlignment="1" applyProtection="1">
      <alignment vertical="center"/>
      <protection locked="0"/>
    </xf>
    <xf numFmtId="0" fontId="5" fillId="0" borderId="45" xfId="0" applyFont="1" applyBorder="1" applyAlignment="1">
      <alignment vertical="center"/>
    </xf>
    <xf numFmtId="166" fontId="3" fillId="0" borderId="23" xfId="0" applyNumberFormat="1" applyFont="1" applyBorder="1" applyAlignment="1">
      <alignment horizontal="left" vertical="center" wrapText="1"/>
    </xf>
    <xf numFmtId="0" fontId="81" fillId="0" borderId="71" xfId="0" applyFont="1" applyBorder="1" applyAlignment="1">
      <alignment horizontal="right" vertical="center"/>
    </xf>
    <xf numFmtId="42" fontId="81" fillId="8" borderId="76" xfId="0" applyNumberFormat="1" applyFont="1" applyFill="1" applyBorder="1" applyAlignment="1">
      <alignment horizontal="center" vertical="center"/>
    </xf>
    <xf numFmtId="0" fontId="81" fillId="8" borderId="72" xfId="0" applyFont="1" applyFill="1" applyBorder="1" applyAlignment="1">
      <alignment horizontal="right" vertical="center"/>
    </xf>
    <xf numFmtId="0" fontId="5" fillId="8" borderId="74" xfId="0" applyFont="1" applyFill="1" applyBorder="1" applyAlignment="1">
      <alignment vertical="center"/>
    </xf>
    <xf numFmtId="0" fontId="81" fillId="8" borderId="46" xfId="0" applyFont="1" applyFill="1" applyBorder="1" applyAlignment="1">
      <alignment vertical="center"/>
    </xf>
    <xf numFmtId="42" fontId="109" fillId="0" borderId="71" xfId="0" applyNumberFormat="1" applyFont="1" applyBorder="1" applyAlignment="1">
      <alignment horizontal="right" vertical="center"/>
    </xf>
    <xf numFmtId="0" fontId="81" fillId="8" borderId="46" xfId="0" applyFont="1" applyFill="1" applyBorder="1" applyAlignment="1">
      <alignment horizontal="right" vertical="center"/>
    </xf>
    <xf numFmtId="0" fontId="81" fillId="8" borderId="74" xfId="0" applyFont="1" applyFill="1" applyBorder="1" applyAlignment="1">
      <alignment horizontal="right" vertical="center"/>
    </xf>
    <xf numFmtId="0" fontId="83" fillId="5" borderId="0" xfId="0" applyFont="1" applyFill="1" applyAlignment="1" applyProtection="1">
      <alignment horizontal="right" vertical="center" wrapText="1"/>
      <protection hidden="1"/>
    </xf>
    <xf numFmtId="171" fontId="35" fillId="5" borderId="25" xfId="0" applyNumberFormat="1" applyFont="1" applyFill="1" applyBorder="1" applyAlignment="1" applyProtection="1">
      <alignment horizontal="left" vertical="center" wrapText="1"/>
      <protection hidden="1"/>
    </xf>
    <xf numFmtId="0" fontId="28" fillId="5" borderId="0" xfId="0" applyFont="1" applyFill="1" applyAlignment="1" applyProtection="1">
      <alignment horizontal="left" vertical="center" wrapText="1"/>
      <protection hidden="1"/>
    </xf>
    <xf numFmtId="0" fontId="28" fillId="5" borderId="0" xfId="0" applyFont="1" applyFill="1" applyAlignment="1" applyProtection="1">
      <alignment horizontal="left" wrapText="1"/>
      <protection hidden="1"/>
    </xf>
    <xf numFmtId="42" fontId="3" fillId="7" borderId="4" xfId="0" applyNumberFormat="1" applyFont="1" applyFill="1" applyBorder="1" applyAlignment="1" applyProtection="1">
      <alignment horizontal="right" vertical="center"/>
      <protection hidden="1"/>
    </xf>
    <xf numFmtId="0" fontId="79" fillId="5" borderId="0" xfId="0" applyFont="1" applyFill="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42" fontId="3" fillId="0" borderId="20" xfId="0" applyNumberFormat="1" applyFont="1" applyBorder="1" applyAlignment="1" applyProtection="1">
      <alignment horizontal="right" vertical="center"/>
      <protection hidden="1"/>
    </xf>
    <xf numFmtId="0" fontId="3" fillId="0" borderId="31" xfId="0" applyFont="1" applyBorder="1" applyAlignment="1" applyProtection="1">
      <alignment horizontal="center" vertical="center"/>
      <protection hidden="1"/>
    </xf>
    <xf numFmtId="42" fontId="3" fillId="0" borderId="31" xfId="0" applyNumberFormat="1" applyFont="1" applyBorder="1" applyAlignment="1" applyProtection="1">
      <alignment horizontal="right" vertical="center"/>
      <protection hidden="1"/>
    </xf>
    <xf numFmtId="42" fontId="3" fillId="0" borderId="4" xfId="0" applyNumberFormat="1" applyFont="1" applyBorder="1" applyAlignment="1" applyProtection="1">
      <alignment horizontal="right" vertical="center"/>
      <protection hidden="1"/>
    </xf>
    <xf numFmtId="42" fontId="3" fillId="7" borderId="31" xfId="0" applyNumberFormat="1" applyFont="1" applyFill="1" applyBorder="1" applyAlignment="1" applyProtection="1">
      <alignment horizontal="right" vertical="center"/>
      <protection hidden="1"/>
    </xf>
    <xf numFmtId="42" fontId="3" fillId="7" borderId="20" xfId="0" applyNumberFormat="1" applyFont="1" applyFill="1" applyBorder="1" applyAlignment="1" applyProtection="1">
      <alignment horizontal="right" vertical="center"/>
      <protection hidden="1"/>
    </xf>
    <xf numFmtId="0" fontId="3" fillId="0" borderId="3" xfId="0" applyFont="1" applyBorder="1" applyAlignment="1" applyProtection="1">
      <alignment horizontal="center" vertical="center"/>
      <protection hidden="1"/>
    </xf>
    <xf numFmtId="42" fontId="24" fillId="0" borderId="4" xfId="0" applyNumberFormat="1" applyFont="1" applyBorder="1" applyAlignment="1" applyProtection="1">
      <alignment horizontal="right" vertical="center"/>
      <protection hidden="1"/>
    </xf>
    <xf numFmtId="42" fontId="24" fillId="7" borderId="4" xfId="0" applyNumberFormat="1" applyFont="1" applyFill="1" applyBorder="1" applyAlignment="1" applyProtection="1">
      <alignment horizontal="right" vertical="center"/>
      <protection hidden="1"/>
    </xf>
    <xf numFmtId="9" fontId="3" fillId="8" borderId="38" xfId="2" applyFont="1" applyFill="1" applyBorder="1" applyAlignment="1" applyProtection="1">
      <alignment horizontal="center" vertical="center" wrapText="1"/>
      <protection hidden="1"/>
    </xf>
    <xf numFmtId="9" fontId="3" fillId="8" borderId="38" xfId="0" applyNumberFormat="1" applyFont="1" applyFill="1" applyBorder="1" applyAlignment="1" applyProtection="1">
      <alignment horizontal="center" vertical="center"/>
      <protection hidden="1"/>
    </xf>
    <xf numFmtId="9" fontId="3" fillId="8" borderId="38" xfId="2" applyFont="1" applyFill="1" applyBorder="1" applyAlignment="1" applyProtection="1">
      <alignment horizontal="center" vertical="center"/>
      <protection hidden="1"/>
    </xf>
    <xf numFmtId="177" fontId="61" fillId="0" borderId="4" xfId="0" applyNumberFormat="1" applyFont="1" applyBorder="1" applyAlignment="1" applyProtection="1">
      <alignment horizontal="center" vertical="center" wrapText="1"/>
      <protection hidden="1"/>
    </xf>
    <xf numFmtId="42" fontId="61" fillId="8" borderId="38" xfId="0" applyNumberFormat="1" applyFont="1" applyFill="1" applyBorder="1" applyAlignment="1" applyProtection="1">
      <alignment vertical="center" wrapText="1"/>
      <protection hidden="1"/>
    </xf>
    <xf numFmtId="42" fontId="61" fillId="8" borderId="70" xfId="0" applyNumberFormat="1" applyFont="1" applyFill="1" applyBorder="1" applyAlignment="1" applyProtection="1">
      <alignment vertical="center" wrapText="1"/>
      <protection hidden="1"/>
    </xf>
    <xf numFmtId="0" fontId="77" fillId="4" borderId="51" xfId="0" applyFont="1" applyFill="1" applyBorder="1" applyAlignment="1" applyProtection="1">
      <alignment horizontal="center" vertical="center" wrapText="1"/>
      <protection hidden="1"/>
    </xf>
    <xf numFmtId="0" fontId="77" fillId="4" borderId="26" xfId="0" applyFont="1" applyFill="1" applyBorder="1" applyAlignment="1" applyProtection="1">
      <alignment horizontal="center" vertical="center" wrapText="1"/>
      <protection hidden="1"/>
    </xf>
    <xf numFmtId="0" fontId="77" fillId="4" borderId="53" xfId="0" applyFont="1" applyFill="1" applyBorder="1" applyAlignment="1" applyProtection="1">
      <alignment horizontal="center" vertical="center" wrapText="1"/>
      <protection hidden="1"/>
    </xf>
    <xf numFmtId="0" fontId="77" fillId="4" borderId="20" xfId="0" applyFont="1" applyFill="1" applyBorder="1" applyAlignment="1" applyProtection="1">
      <alignment horizontal="center" vertical="center" wrapText="1"/>
      <protection hidden="1"/>
    </xf>
    <xf numFmtId="3" fontId="61" fillId="0" borderId="37" xfId="0" applyNumberFormat="1" applyFont="1" applyBorder="1" applyAlignment="1" applyProtection="1">
      <alignment horizontal="center" vertical="center" wrapText="1"/>
      <protection locked="0" hidden="1"/>
    </xf>
    <xf numFmtId="3" fontId="61" fillId="0" borderId="4" xfId="0" applyNumberFormat="1" applyFont="1" applyBorder="1" applyAlignment="1" applyProtection="1">
      <alignment horizontal="center" vertical="center" wrapText="1"/>
      <protection locked="0" hidden="1"/>
    </xf>
    <xf numFmtId="3" fontId="61" fillId="0" borderId="69" xfId="0" applyNumberFormat="1" applyFont="1" applyBorder="1" applyAlignment="1" applyProtection="1">
      <alignment horizontal="center" vertical="center" wrapText="1"/>
      <protection locked="0" hidden="1"/>
    </xf>
    <xf numFmtId="3" fontId="61" fillId="0" borderId="19" xfId="0" applyNumberFormat="1" applyFont="1" applyBorder="1" applyAlignment="1" applyProtection="1">
      <alignment horizontal="center" vertical="center" wrapText="1"/>
      <protection locked="0" hidden="1"/>
    </xf>
    <xf numFmtId="177" fontId="61" fillId="7" borderId="4" xfId="0" applyNumberFormat="1" applyFont="1" applyFill="1" applyBorder="1" applyAlignment="1" applyProtection="1">
      <alignment horizontal="center" vertical="center" wrapText="1"/>
      <protection locked="0" hidden="1"/>
    </xf>
    <xf numFmtId="0" fontId="61" fillId="7" borderId="4" xfId="0" applyFont="1" applyFill="1" applyBorder="1" applyAlignment="1" applyProtection="1">
      <alignment horizontal="left" vertical="center" wrapText="1"/>
      <protection locked="0" hidden="1"/>
    </xf>
    <xf numFmtId="0" fontId="61" fillId="7" borderId="4" xfId="0" applyFont="1" applyFill="1" applyBorder="1" applyAlignment="1" applyProtection="1">
      <alignment horizontal="center" vertical="center" wrapText="1"/>
      <protection locked="0" hidden="1"/>
    </xf>
    <xf numFmtId="3" fontId="61" fillId="7" borderId="4" xfId="0" applyNumberFormat="1" applyFont="1" applyFill="1" applyBorder="1" applyAlignment="1" applyProtection="1">
      <alignment horizontal="center" vertical="center" wrapText="1"/>
      <protection locked="0" hidden="1"/>
    </xf>
    <xf numFmtId="42" fontId="61" fillId="7" borderId="4" xfId="0" applyNumberFormat="1" applyFont="1" applyFill="1" applyBorder="1" applyAlignment="1" applyProtection="1">
      <alignment vertical="center" wrapText="1"/>
      <protection locked="0" hidden="1"/>
    </xf>
    <xf numFmtId="177" fontId="61" fillId="7" borderId="19" xfId="0" applyNumberFormat="1" applyFont="1" applyFill="1" applyBorder="1" applyAlignment="1" applyProtection="1">
      <alignment horizontal="center" vertical="center" wrapText="1"/>
      <protection locked="0" hidden="1"/>
    </xf>
    <xf numFmtId="0" fontId="61" fillId="7" borderId="19" xfId="0" applyFont="1" applyFill="1" applyBorder="1" applyAlignment="1" applyProtection="1">
      <alignment horizontal="left" vertical="center" wrapText="1"/>
      <protection locked="0" hidden="1"/>
    </xf>
    <xf numFmtId="0" fontId="61" fillId="7" borderId="19" xfId="0" applyFont="1" applyFill="1" applyBorder="1" applyAlignment="1" applyProtection="1">
      <alignment horizontal="center" vertical="center" wrapText="1"/>
      <protection locked="0" hidden="1"/>
    </xf>
    <xf numFmtId="3" fontId="61" fillId="7" borderId="19" xfId="0" applyNumberFormat="1" applyFont="1" applyFill="1" applyBorder="1" applyAlignment="1" applyProtection="1">
      <alignment horizontal="center" vertical="center" wrapText="1"/>
      <protection locked="0" hidden="1"/>
    </xf>
    <xf numFmtId="42" fontId="61" fillId="7" borderId="19" xfId="0" applyNumberFormat="1" applyFont="1" applyFill="1" applyBorder="1" applyAlignment="1" applyProtection="1">
      <alignment vertical="center" wrapText="1"/>
      <protection locked="0" hidden="1"/>
    </xf>
    <xf numFmtId="0" fontId="61" fillId="7" borderId="37" xfId="0" applyFont="1" applyFill="1" applyBorder="1" applyAlignment="1" applyProtection="1">
      <alignment horizontal="left" vertical="center" wrapText="1"/>
      <protection locked="0" hidden="1"/>
    </xf>
    <xf numFmtId="0" fontId="61" fillId="7" borderId="4" xfId="0" applyFont="1" applyFill="1" applyBorder="1" applyAlignment="1" applyProtection="1">
      <alignment vertical="center" wrapText="1"/>
      <protection locked="0" hidden="1"/>
    </xf>
    <xf numFmtId="0" fontId="61" fillId="7" borderId="38" xfId="0" applyFont="1" applyFill="1" applyBorder="1" applyAlignment="1" applyProtection="1">
      <alignment horizontal="center" vertical="center" wrapText="1"/>
      <protection locked="0" hidden="1"/>
    </xf>
    <xf numFmtId="42" fontId="61" fillId="7" borderId="37" xfId="0" applyNumberFormat="1" applyFont="1" applyFill="1" applyBorder="1" applyAlignment="1" applyProtection="1">
      <alignment vertical="center"/>
      <protection locked="0" hidden="1"/>
    </xf>
    <xf numFmtId="0" fontId="61" fillId="7" borderId="5" xfId="0" applyFont="1" applyFill="1" applyBorder="1" applyAlignment="1" applyProtection="1">
      <alignment horizontal="left" vertical="center" wrapText="1"/>
      <protection locked="0" hidden="1"/>
    </xf>
    <xf numFmtId="3" fontId="61" fillId="7" borderId="37" xfId="0" applyNumberFormat="1" applyFont="1" applyFill="1" applyBorder="1" applyAlignment="1" applyProtection="1">
      <alignment horizontal="center" vertical="center" wrapText="1"/>
      <protection locked="0" hidden="1"/>
    </xf>
    <xf numFmtId="0" fontId="61" fillId="7" borderId="69" xfId="0" applyFont="1" applyFill="1" applyBorder="1" applyAlignment="1" applyProtection="1">
      <alignment horizontal="left" vertical="center" wrapText="1"/>
      <protection locked="0" hidden="1"/>
    </xf>
    <xf numFmtId="0" fontId="61" fillId="7" borderId="19" xfId="0" applyFont="1" applyFill="1" applyBorder="1" applyAlignment="1" applyProtection="1">
      <alignment vertical="center" wrapText="1"/>
      <protection locked="0" hidden="1"/>
    </xf>
    <xf numFmtId="0" fontId="61" fillId="7" borderId="70" xfId="0" applyFont="1" applyFill="1" applyBorder="1" applyAlignment="1" applyProtection="1">
      <alignment horizontal="center" vertical="center" wrapText="1"/>
      <protection locked="0" hidden="1"/>
    </xf>
    <xf numFmtId="42" fontId="61" fillId="7" borderId="69" xfId="0" applyNumberFormat="1" applyFont="1" applyFill="1" applyBorder="1" applyAlignment="1" applyProtection="1">
      <alignment vertical="center"/>
      <protection locked="0" hidden="1"/>
    </xf>
    <xf numFmtId="0" fontId="61" fillId="7" borderId="23" xfId="0" applyFont="1" applyFill="1" applyBorder="1" applyAlignment="1" applyProtection="1">
      <alignment horizontal="left" vertical="center" wrapText="1"/>
      <protection locked="0" hidden="1"/>
    </xf>
    <xf numFmtId="3" fontId="61" fillId="7" borderId="69" xfId="0" applyNumberFormat="1" applyFont="1" applyFill="1" applyBorder="1" applyAlignment="1" applyProtection="1">
      <alignment horizontal="center" vertical="center" wrapText="1"/>
      <protection locked="0" hidden="1"/>
    </xf>
    <xf numFmtId="0" fontId="77" fillId="6" borderId="51" xfId="0" applyFont="1" applyFill="1" applyBorder="1" applyAlignment="1" applyProtection="1">
      <alignment horizontal="center" vertical="center" wrapText="1"/>
      <protection hidden="1"/>
    </xf>
    <xf numFmtId="0" fontId="77" fillId="6" borderId="26" xfId="0" applyFont="1" applyFill="1" applyBorder="1" applyAlignment="1" applyProtection="1">
      <alignment horizontal="center" vertical="center" wrapText="1"/>
      <protection hidden="1"/>
    </xf>
    <xf numFmtId="0" fontId="77" fillId="6" borderId="53" xfId="0" applyFont="1" applyFill="1" applyBorder="1" applyAlignment="1" applyProtection="1">
      <alignment horizontal="center" vertical="center" wrapText="1"/>
      <protection hidden="1"/>
    </xf>
    <xf numFmtId="0" fontId="77" fillId="6" borderId="20" xfId="0" applyFont="1" applyFill="1" applyBorder="1" applyAlignment="1" applyProtection="1">
      <alignment horizontal="center" vertical="center" wrapText="1"/>
      <protection hidden="1"/>
    </xf>
    <xf numFmtId="1" fontId="3" fillId="8" borderId="4" xfId="0" applyNumberFormat="1" applyFont="1" applyFill="1" applyBorder="1" applyAlignment="1" applyProtection="1">
      <alignment horizontal="center" vertical="center" wrapText="1"/>
      <protection hidden="1"/>
    </xf>
    <xf numFmtId="1" fontId="3" fillId="8" borderId="3" xfId="0" applyNumberFormat="1" applyFont="1" applyFill="1" applyBorder="1" applyAlignment="1" applyProtection="1">
      <alignment horizontal="center" vertical="center" wrapText="1"/>
      <protection hidden="1"/>
    </xf>
    <xf numFmtId="42" fontId="3" fillId="8" borderId="4" xfId="0" applyNumberFormat="1" applyFont="1" applyFill="1" applyBorder="1" applyAlignment="1" applyProtection="1">
      <alignment vertical="center"/>
      <protection hidden="1"/>
    </xf>
    <xf numFmtId="166" fontId="3" fillId="8" borderId="23" xfId="0" applyNumberFormat="1" applyFont="1" applyFill="1" applyBorder="1" applyAlignment="1" applyProtection="1">
      <alignment vertical="center" wrapText="1"/>
      <protection hidden="1"/>
    </xf>
    <xf numFmtId="166" fontId="3" fillId="8" borderId="18" xfId="0" applyNumberFormat="1" applyFont="1" applyFill="1" applyBorder="1" applyAlignment="1" applyProtection="1">
      <alignment vertical="center" wrapText="1"/>
      <protection hidden="1"/>
    </xf>
    <xf numFmtId="166" fontId="3" fillId="8" borderId="6" xfId="0" applyNumberFormat="1" applyFont="1" applyFill="1" applyBorder="1" applyAlignment="1" applyProtection="1">
      <alignment vertical="center" wrapText="1"/>
      <protection hidden="1"/>
    </xf>
    <xf numFmtId="166" fontId="3" fillId="8" borderId="25" xfId="0" applyNumberFormat="1" applyFont="1" applyFill="1" applyBorder="1" applyAlignment="1" applyProtection="1">
      <alignment vertical="center" wrapText="1"/>
      <protection hidden="1"/>
    </xf>
    <xf numFmtId="42" fontId="3" fillId="8" borderId="19" xfId="0" applyNumberFormat="1" applyFont="1" applyFill="1" applyBorder="1" applyAlignment="1" applyProtection="1">
      <alignment vertical="center"/>
      <protection hidden="1"/>
    </xf>
    <xf numFmtId="166" fontId="3" fillId="8" borderId="4" xfId="0" applyNumberFormat="1" applyFont="1" applyFill="1" applyBorder="1" applyAlignment="1" applyProtection="1">
      <alignment vertical="center" wrapText="1"/>
      <protection hidden="1"/>
    </xf>
    <xf numFmtId="166" fontId="3" fillId="8" borderId="19" xfId="0" applyNumberFormat="1" applyFont="1" applyFill="1" applyBorder="1" applyAlignment="1" applyProtection="1">
      <alignment vertical="center" wrapText="1"/>
      <protection hidden="1"/>
    </xf>
    <xf numFmtId="176" fontId="3" fillId="8" borderId="4" xfId="0" applyNumberFormat="1" applyFont="1" applyFill="1" applyBorder="1" applyAlignment="1" applyProtection="1">
      <alignment vertical="center" wrapText="1"/>
      <protection hidden="1"/>
    </xf>
    <xf numFmtId="176" fontId="3" fillId="8" borderId="19" xfId="0" applyNumberFormat="1" applyFont="1" applyFill="1" applyBorder="1" applyAlignment="1" applyProtection="1">
      <alignment vertical="center" wrapText="1"/>
      <protection hidden="1"/>
    </xf>
    <xf numFmtId="4" fontId="13" fillId="8" borderId="4" xfId="0" applyNumberFormat="1" applyFont="1" applyFill="1" applyBorder="1" applyAlignment="1" applyProtection="1">
      <alignment vertical="center" wrapText="1"/>
      <protection hidden="1"/>
    </xf>
    <xf numFmtId="4" fontId="13" fillId="8" borderId="19" xfId="0" applyNumberFormat="1" applyFont="1" applyFill="1" applyBorder="1" applyAlignment="1" applyProtection="1">
      <alignment vertical="center" wrapText="1"/>
      <protection hidden="1"/>
    </xf>
    <xf numFmtId="42" fontId="3" fillId="7" borderId="4" xfId="0" applyNumberFormat="1" applyFont="1" applyFill="1" applyBorder="1" applyAlignment="1" applyProtection="1">
      <alignment vertical="center"/>
      <protection locked="0" hidden="1"/>
    </xf>
    <xf numFmtId="166" fontId="3" fillId="7" borderId="5" xfId="0" applyNumberFormat="1" applyFont="1" applyFill="1" applyBorder="1" applyAlignment="1" applyProtection="1">
      <alignment horizontal="left" vertical="center" wrapText="1"/>
      <protection locked="0" hidden="1"/>
    </xf>
    <xf numFmtId="42" fontId="3" fillId="7" borderId="4" xfId="0" applyNumberFormat="1" applyFont="1" applyFill="1" applyBorder="1" applyAlignment="1" applyProtection="1">
      <alignment horizontal="center" vertical="center"/>
      <protection locked="0" hidden="1"/>
    </xf>
    <xf numFmtId="42" fontId="3" fillId="7" borderId="19" xfId="0" applyNumberFormat="1" applyFont="1" applyFill="1" applyBorder="1" applyAlignment="1" applyProtection="1">
      <alignment horizontal="center" vertical="center"/>
      <protection locked="0" hidden="1"/>
    </xf>
    <xf numFmtId="42" fontId="3" fillId="7" borderId="19" xfId="0" applyNumberFormat="1" applyFont="1" applyFill="1" applyBorder="1" applyAlignment="1" applyProtection="1">
      <alignment vertical="center"/>
      <protection locked="0" hidden="1"/>
    </xf>
    <xf numFmtId="0" fontId="14" fillId="3" borderId="6" xfId="0" applyFont="1" applyFill="1" applyBorder="1" applyAlignment="1">
      <alignment horizontal="center" vertical="center" wrapText="1"/>
    </xf>
    <xf numFmtId="0" fontId="14" fillId="3" borderId="0" xfId="0" applyFont="1" applyFill="1" applyAlignment="1">
      <alignment horizontal="center" vertical="center" wrapText="1"/>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70" fontId="27" fillId="0" borderId="5" xfId="1" applyNumberFormat="1" applyFill="1" applyBorder="1" applyAlignment="1" applyProtection="1">
      <alignment horizontal="left" vertical="center" wrapText="1"/>
      <protection locked="0"/>
    </xf>
    <xf numFmtId="170" fontId="3" fillId="0" borderId="2" xfId="0" applyNumberFormat="1" applyFont="1" applyBorder="1" applyAlignment="1" applyProtection="1">
      <alignment horizontal="left" vertical="center" wrapText="1"/>
      <protection locked="0"/>
    </xf>
    <xf numFmtId="170" fontId="3" fillId="0" borderId="3" xfId="0" applyNumberFormat="1" applyFont="1" applyBorder="1" applyAlignment="1" applyProtection="1">
      <alignment horizontal="left" vertical="center" wrapText="1"/>
      <protection locked="0"/>
    </xf>
    <xf numFmtId="0" fontId="22" fillId="5" borderId="6" xfId="0" applyFont="1" applyFill="1" applyBorder="1" applyAlignment="1">
      <alignment horizontal="left" vertical="center" wrapText="1"/>
    </xf>
    <xf numFmtId="0" fontId="22" fillId="5" borderId="0" xfId="0" applyFont="1" applyFill="1" applyAlignment="1">
      <alignment horizontal="left" vertical="center" wrapText="1"/>
    </xf>
    <xf numFmtId="0" fontId="22" fillId="5" borderId="6" xfId="0" applyFont="1" applyFill="1" applyBorder="1" applyAlignment="1">
      <alignment vertical="center" wrapText="1"/>
    </xf>
    <xf numFmtId="0" fontId="22" fillId="5" borderId="0" xfId="0" applyFont="1" applyFill="1" applyAlignment="1">
      <alignment vertical="center" wrapText="1"/>
    </xf>
    <xf numFmtId="177" fontId="3" fillId="0" borderId="5" xfId="0" applyNumberFormat="1" applyFont="1" applyBorder="1" applyAlignment="1" applyProtection="1">
      <alignment horizontal="left" vertical="center" wrapText="1"/>
      <protection locked="0"/>
    </xf>
    <xf numFmtId="177" fontId="3" fillId="0" borderId="3" xfId="0" applyNumberFormat="1" applyFont="1" applyBorder="1" applyAlignment="1" applyProtection="1">
      <alignment horizontal="left" vertical="center" wrapText="1"/>
      <protection locked="0"/>
    </xf>
    <xf numFmtId="0" fontId="22" fillId="5" borderId="6" xfId="0" applyFont="1" applyFill="1" applyBorder="1" applyAlignment="1">
      <alignment horizontal="left" vertical="center"/>
    </xf>
    <xf numFmtId="0" fontId="22" fillId="5" borderId="0" xfId="0" applyFont="1" applyFill="1" applyAlignment="1">
      <alignment horizontal="left" vertical="center"/>
    </xf>
    <xf numFmtId="0" fontId="39" fillId="0" borderId="0" xfId="0" applyFont="1" applyAlignment="1">
      <alignment horizontal="left" vertical="center" wrapText="1"/>
    </xf>
    <xf numFmtId="0" fontId="20" fillId="0" borderId="0" xfId="0" applyFont="1" applyAlignment="1">
      <alignment horizontal="center" vertical="center"/>
    </xf>
    <xf numFmtId="0" fontId="138" fillId="5" borderId="0" xfId="0" applyFont="1" applyFill="1" applyAlignment="1">
      <alignment horizontal="center" vertical="center"/>
    </xf>
    <xf numFmtId="0" fontId="138" fillId="5" borderId="25" xfId="0" applyFont="1" applyFill="1" applyBorder="1" applyAlignment="1">
      <alignment horizontal="center" vertical="center"/>
    </xf>
    <xf numFmtId="0" fontId="139" fillId="5" borderId="6" xfId="0" applyFont="1" applyFill="1" applyBorder="1" applyAlignment="1">
      <alignment horizontal="left" vertical="center"/>
    </xf>
    <xf numFmtId="0" fontId="139" fillId="5" borderId="0" xfId="0" applyFont="1" applyFill="1" applyAlignment="1">
      <alignment horizontal="left" vertical="center"/>
    </xf>
    <xf numFmtId="0" fontId="139" fillId="5" borderId="25" xfId="0" applyFont="1" applyFill="1" applyBorder="1" applyAlignment="1">
      <alignment horizontal="left" vertical="center"/>
    </xf>
    <xf numFmtId="0" fontId="22" fillId="5" borderId="6" xfId="0" quotePrefix="1" applyFont="1" applyFill="1" applyBorder="1" applyAlignment="1">
      <alignment horizontal="left" vertical="center"/>
    </xf>
    <xf numFmtId="0" fontId="22" fillId="5" borderId="0" xfId="0" quotePrefix="1" applyFont="1" applyFill="1" applyAlignment="1">
      <alignment horizontal="left" vertical="center"/>
    </xf>
    <xf numFmtId="0" fontId="22" fillId="5" borderId="25" xfId="0" quotePrefix="1" applyFont="1" applyFill="1" applyBorder="1" applyAlignment="1">
      <alignment horizontal="left" vertical="center"/>
    </xf>
    <xf numFmtId="0" fontId="22" fillId="5" borderId="6" xfId="0" quotePrefix="1" applyFont="1" applyFill="1" applyBorder="1" applyAlignment="1">
      <alignment horizontal="left" vertical="center" wrapText="1"/>
    </xf>
    <xf numFmtId="0" fontId="22" fillId="5" borderId="0" xfId="0" quotePrefix="1" applyFont="1" applyFill="1" applyAlignment="1">
      <alignment horizontal="left" vertical="center" wrapText="1"/>
    </xf>
    <xf numFmtId="0" fontId="22" fillId="5" borderId="25" xfId="0" quotePrefix="1" applyFont="1" applyFill="1" applyBorder="1" applyAlignment="1">
      <alignment horizontal="left" vertical="center" wrapText="1"/>
    </xf>
    <xf numFmtId="0" fontId="22" fillId="5" borderId="6" xfId="0" quotePrefix="1" applyFont="1" applyFill="1" applyBorder="1" applyAlignment="1">
      <alignment vertical="center"/>
    </xf>
    <xf numFmtId="0" fontId="22" fillId="5" borderId="0" xfId="0" quotePrefix="1" applyFont="1" applyFill="1" applyAlignment="1">
      <alignment vertical="center"/>
    </xf>
    <xf numFmtId="0" fontId="22" fillId="5" borderId="25" xfId="0" quotePrefix="1" applyFont="1" applyFill="1" applyBorder="1" applyAlignment="1">
      <alignment vertical="center"/>
    </xf>
    <xf numFmtId="0" fontId="22" fillId="5" borderId="6" xfId="0" applyFont="1" applyFill="1" applyBorder="1" applyAlignment="1">
      <alignment vertical="center"/>
    </xf>
    <xf numFmtId="0" fontId="22" fillId="5" borderId="0" xfId="0" applyFont="1" applyFill="1" applyAlignment="1">
      <alignment vertical="center"/>
    </xf>
    <xf numFmtId="0" fontId="22" fillId="0" borderId="0" xfId="0" applyFont="1" applyAlignment="1">
      <alignment horizontal="left" vertical="center" wrapText="1"/>
    </xf>
    <xf numFmtId="0" fontId="89" fillId="13" borderId="5" xfId="0" applyFont="1" applyFill="1" applyBorder="1" applyAlignment="1">
      <alignment horizontal="center" vertical="center" wrapText="1"/>
    </xf>
    <xf numFmtId="0" fontId="89" fillId="13" borderId="2" xfId="0" applyFont="1" applyFill="1" applyBorder="1" applyAlignment="1">
      <alignment horizontal="center" vertical="center" wrapText="1"/>
    </xf>
    <xf numFmtId="0" fontId="89" fillId="13" borderId="3" xfId="0" applyFont="1" applyFill="1" applyBorder="1" applyAlignment="1">
      <alignment horizontal="center" vertical="center" wrapText="1"/>
    </xf>
    <xf numFmtId="0" fontId="15" fillId="3" borderId="0" xfId="0" applyFont="1" applyFill="1" applyAlignment="1">
      <alignment horizontal="center" vertical="center"/>
    </xf>
    <xf numFmtId="0" fontId="96" fillId="0" borderId="0" xfId="1" applyFont="1" applyAlignment="1" applyProtection="1">
      <alignment horizontal="left" vertical="center" wrapText="1"/>
    </xf>
    <xf numFmtId="0" fontId="58" fillId="0" borderId="0" xfId="1" applyFont="1" applyAlignment="1" applyProtection="1">
      <alignment horizontal="left" vertical="center" wrapText="1"/>
    </xf>
    <xf numFmtId="0" fontId="22" fillId="5" borderId="5"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84" fillId="7" borderId="5" xfId="0" applyFont="1" applyFill="1" applyBorder="1" applyAlignment="1" applyProtection="1">
      <alignment horizontal="left" vertical="center" wrapText="1"/>
      <protection locked="0"/>
    </xf>
    <xf numFmtId="0" fontId="84" fillId="7" borderId="3" xfId="0" applyFont="1" applyFill="1" applyBorder="1" applyAlignment="1" applyProtection="1">
      <alignment horizontal="left" vertical="center" wrapText="1"/>
      <protection locked="0"/>
    </xf>
    <xf numFmtId="0" fontId="22" fillId="5" borderId="0" xfId="0" applyFont="1" applyFill="1" applyAlignment="1">
      <alignment horizontal="center" vertical="center" wrapText="1"/>
    </xf>
    <xf numFmtId="0" fontId="22" fillId="5" borderId="25" xfId="0" applyFont="1" applyFill="1" applyBorder="1" applyAlignment="1">
      <alignment horizontal="center" vertical="center" wrapText="1"/>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54" fillId="0" borderId="0" xfId="0" applyFont="1" applyAlignment="1">
      <alignment vertical="center"/>
    </xf>
    <xf numFmtId="164" fontId="10" fillId="10" borderId="5" xfId="0" applyNumberFormat="1" applyFont="1" applyFill="1" applyBorder="1" applyAlignment="1">
      <alignment horizontal="center" vertical="center"/>
    </xf>
    <xf numFmtId="164" fontId="10" fillId="10" borderId="2" xfId="0" applyNumberFormat="1" applyFont="1" applyFill="1" applyBorder="1" applyAlignment="1">
      <alignment horizontal="center" vertical="center"/>
    </xf>
    <xf numFmtId="164" fontId="10" fillId="10" borderId="3" xfId="0" applyNumberFormat="1" applyFont="1" applyFill="1" applyBorder="1" applyAlignment="1">
      <alignment horizontal="center" vertical="center"/>
    </xf>
    <xf numFmtId="0" fontId="23" fillId="0" borderId="5"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98" fillId="0" borderId="0" xfId="0" applyFont="1" applyAlignment="1">
      <alignment horizontal="center" vertical="center" wrapText="1"/>
    </xf>
    <xf numFmtId="0" fontId="46" fillId="5" borderId="16" xfId="0" applyFont="1" applyFill="1" applyBorder="1" applyAlignment="1">
      <alignment horizontal="left" vertical="center" wrapText="1"/>
    </xf>
    <xf numFmtId="0" fontId="46" fillId="5" borderId="44" xfId="0" applyFont="1" applyFill="1" applyBorder="1" applyAlignment="1">
      <alignment horizontal="left" vertical="center" wrapText="1"/>
    </xf>
    <xf numFmtId="170" fontId="3" fillId="0" borderId="5" xfId="0" applyNumberFormat="1" applyFont="1" applyBorder="1" applyAlignment="1" applyProtection="1">
      <alignment horizontal="left" vertical="center" wrapText="1"/>
      <protection locked="0"/>
    </xf>
    <xf numFmtId="0" fontId="50" fillId="0" borderId="0" xfId="0" applyFont="1" applyAlignment="1">
      <alignment horizontal="left" vertical="center" wrapText="1"/>
    </xf>
    <xf numFmtId="0" fontId="123" fillId="5" borderId="6" xfId="0" applyFont="1" applyFill="1" applyBorder="1" applyAlignment="1">
      <alignment horizontal="center" vertical="center" wrapText="1"/>
    </xf>
    <xf numFmtId="0" fontId="123" fillId="5" borderId="0" xfId="0" applyFont="1" applyFill="1" applyAlignment="1">
      <alignment horizontal="center" vertical="center" wrapText="1"/>
    </xf>
    <xf numFmtId="0" fontId="123" fillId="5" borderId="22" xfId="0" applyFont="1" applyFill="1" applyBorder="1" applyAlignment="1">
      <alignment horizontal="center" vertical="center" wrapText="1"/>
    </xf>
    <xf numFmtId="0" fontId="123" fillId="5" borderId="1" xfId="0" applyFont="1" applyFill="1" applyBorder="1" applyAlignment="1">
      <alignment horizontal="center" vertical="center" wrapText="1"/>
    </xf>
    <xf numFmtId="0" fontId="46" fillId="5" borderId="0" xfId="0" applyFont="1" applyFill="1" applyAlignment="1">
      <alignment horizontal="left" vertical="center" wrapText="1"/>
    </xf>
    <xf numFmtId="0" fontId="46" fillId="5" borderId="25" xfId="0" applyFont="1" applyFill="1" applyBorder="1" applyAlignment="1">
      <alignment horizontal="left" vertical="center" wrapText="1"/>
    </xf>
    <xf numFmtId="0" fontId="46" fillId="5" borderId="1" xfId="0" applyFont="1" applyFill="1" applyBorder="1" applyAlignment="1">
      <alignment horizontal="left" vertical="center" wrapText="1"/>
    </xf>
    <xf numFmtId="0" fontId="46" fillId="5" borderId="24" xfId="0" applyFont="1" applyFill="1" applyBorder="1" applyAlignment="1">
      <alignment horizontal="left" vertical="center" wrapText="1"/>
    </xf>
    <xf numFmtId="0" fontId="24" fillId="0" borderId="5"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86" fillId="5" borderId="0" xfId="0" applyFont="1" applyFill="1" applyAlignment="1">
      <alignment horizontal="center" vertical="center" wrapText="1"/>
    </xf>
    <xf numFmtId="0" fontId="86" fillId="5" borderId="25" xfId="0" applyFont="1" applyFill="1" applyBorder="1" applyAlignment="1">
      <alignment horizontal="center" vertical="center" wrapText="1"/>
    </xf>
    <xf numFmtId="0" fontId="22" fillId="5" borderId="6" xfId="0" applyFont="1" applyFill="1" applyBorder="1" applyAlignment="1">
      <alignment horizontal="right" vertical="center"/>
    </xf>
    <xf numFmtId="0" fontId="22" fillId="5" borderId="0" xfId="0" applyFont="1" applyFill="1" applyAlignment="1">
      <alignment horizontal="right" vertical="center"/>
    </xf>
    <xf numFmtId="0" fontId="22" fillId="5" borderId="25" xfId="0" applyFont="1" applyFill="1" applyBorder="1" applyAlignment="1">
      <alignment horizontal="right" vertical="center"/>
    </xf>
    <xf numFmtId="0" fontId="22" fillId="5" borderId="25" xfId="0" applyFont="1" applyFill="1" applyBorder="1" applyAlignment="1">
      <alignment horizontal="left" vertical="center"/>
    </xf>
    <xf numFmtId="0" fontId="22" fillId="5" borderId="1" xfId="0" applyFont="1" applyFill="1" applyBorder="1" applyAlignment="1">
      <alignment horizontal="right"/>
    </xf>
    <xf numFmtId="0" fontId="89" fillId="5" borderId="6" xfId="0" applyFont="1" applyFill="1" applyBorder="1" applyAlignment="1">
      <alignment vertical="center"/>
    </xf>
    <xf numFmtId="0" fontId="89" fillId="5" borderId="0" xfId="0" applyFont="1" applyFill="1" applyAlignment="1">
      <alignment vertical="center"/>
    </xf>
    <xf numFmtId="0" fontId="109" fillId="5" borderId="0" xfId="0" applyFont="1" applyFill="1" applyAlignment="1" applyProtection="1">
      <alignment horizontal="center" vertical="center" wrapText="1"/>
      <protection hidden="1"/>
    </xf>
    <xf numFmtId="0" fontId="109" fillId="5" borderId="25" xfId="0" applyFont="1" applyFill="1" applyBorder="1" applyAlignment="1" applyProtection="1">
      <alignment horizontal="center" vertical="center" wrapText="1"/>
      <protection hidden="1"/>
    </xf>
    <xf numFmtId="0" fontId="86" fillId="5" borderId="0" xfId="0" applyFont="1" applyFill="1" applyAlignment="1" applyProtection="1">
      <alignment horizontal="center" vertical="center" wrapText="1"/>
      <protection hidden="1"/>
    </xf>
    <xf numFmtId="0" fontId="86" fillId="5" borderId="25" xfId="0" applyFont="1" applyFill="1" applyBorder="1" applyAlignment="1" applyProtection="1">
      <alignment horizontal="center" vertical="center" wrapText="1"/>
      <protection hidden="1"/>
    </xf>
    <xf numFmtId="0" fontId="109" fillId="5" borderId="0" xfId="0" applyFont="1" applyFill="1" applyAlignment="1" applyProtection="1">
      <alignment horizontal="center" wrapText="1"/>
      <protection hidden="1"/>
    </xf>
    <xf numFmtId="0" fontId="109" fillId="5" borderId="25" xfId="0" applyFont="1" applyFill="1" applyBorder="1" applyAlignment="1" applyProtection="1">
      <alignment horizontal="center" wrapText="1"/>
      <protection hidden="1"/>
    </xf>
    <xf numFmtId="0" fontId="25" fillId="0" borderId="0" xfId="0" applyFont="1" applyAlignment="1">
      <alignment horizontal="right" vertical="center" wrapText="1"/>
    </xf>
    <xf numFmtId="0" fontId="32" fillId="2" borderId="5" xfId="0" applyFont="1" applyFill="1" applyBorder="1" applyAlignment="1">
      <alignment horizontal="center" vertical="center" wrapText="1"/>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21" fillId="0" borderId="0" xfId="0" applyFont="1" applyAlignment="1">
      <alignment horizontal="center" vertical="center"/>
    </xf>
    <xf numFmtId="0" fontId="43" fillId="0" borderId="0" xfId="0" applyFont="1" applyAlignment="1">
      <alignment horizontal="right" vertical="center"/>
    </xf>
    <xf numFmtId="0" fontId="19" fillId="0" borderId="0" xfId="0" applyFont="1" applyAlignment="1">
      <alignment horizontal="right" vertical="center"/>
    </xf>
    <xf numFmtId="0" fontId="25" fillId="0" borderId="0" xfId="0" applyFont="1" applyAlignment="1">
      <alignment horizontal="right" vertical="center"/>
    </xf>
    <xf numFmtId="0" fontId="68" fillId="5" borderId="6" xfId="0" applyFont="1" applyFill="1" applyBorder="1" applyAlignment="1">
      <alignment horizontal="left" vertical="center" wrapText="1"/>
    </xf>
    <xf numFmtId="0" fontId="68" fillId="5" borderId="0" xfId="0" applyFont="1" applyFill="1" applyAlignment="1">
      <alignment horizontal="left" vertical="center" wrapText="1"/>
    </xf>
    <xf numFmtId="0" fontId="38" fillId="3" borderId="0" xfId="0" applyFont="1" applyFill="1" applyAlignment="1">
      <alignment horizontal="center" vertical="center" wrapText="1"/>
    </xf>
    <xf numFmtId="0" fontId="113" fillId="0" borderId="0" xfId="0" applyFont="1" applyAlignment="1">
      <alignment horizontal="center" vertical="center"/>
    </xf>
    <xf numFmtId="0" fontId="3" fillId="5" borderId="0" xfId="0" applyFont="1" applyFill="1" applyAlignment="1" applyProtection="1">
      <alignment vertical="center" wrapText="1"/>
      <protection locked="0"/>
    </xf>
    <xf numFmtId="0" fontId="3" fillId="5" borderId="25" xfId="0" applyFont="1" applyFill="1" applyBorder="1" applyAlignment="1" applyProtection="1">
      <alignment vertical="center" wrapText="1"/>
      <protection locked="0"/>
    </xf>
    <xf numFmtId="0" fontId="66" fillId="0" borderId="0" xfId="0" applyFont="1" applyAlignment="1">
      <alignment horizontal="left"/>
    </xf>
    <xf numFmtId="0" fontId="24" fillId="5" borderId="17" xfId="0" applyFont="1" applyFill="1" applyBorder="1" applyAlignment="1">
      <alignment horizontal="left" vertical="center" wrapText="1"/>
    </xf>
    <xf numFmtId="0" fontId="39" fillId="5" borderId="6" xfId="0" quotePrefix="1" applyFont="1" applyFill="1" applyBorder="1" applyAlignment="1">
      <alignment horizontal="left" vertical="center" wrapText="1"/>
    </xf>
    <xf numFmtId="0" fontId="39" fillId="5" borderId="0" xfId="0" quotePrefix="1" applyFont="1" applyFill="1" applyAlignment="1">
      <alignment horizontal="left" vertical="center" wrapText="1"/>
    </xf>
    <xf numFmtId="0" fontId="26" fillId="5" borderId="6" xfId="0" applyFont="1" applyFill="1" applyBorder="1" applyAlignment="1">
      <alignment vertical="center"/>
    </xf>
    <xf numFmtId="0" fontId="26" fillId="5" borderId="0" xfId="0" applyFont="1" applyFill="1" applyAlignment="1">
      <alignment vertical="center"/>
    </xf>
    <xf numFmtId="0" fontId="26" fillId="5" borderId="25" xfId="0" applyFont="1" applyFill="1" applyBorder="1" applyAlignment="1">
      <alignment vertical="center"/>
    </xf>
    <xf numFmtId="42" fontId="3" fillId="0" borderId="5" xfId="0" applyNumberFormat="1" applyFont="1" applyBorder="1" applyAlignment="1" applyProtection="1">
      <alignment horizontal="right" vertical="center"/>
      <protection locked="0"/>
    </xf>
    <xf numFmtId="42" fontId="3" fillId="0" borderId="3" xfId="0" applyNumberFormat="1" applyFont="1" applyBorder="1" applyAlignment="1" applyProtection="1">
      <alignment horizontal="right" vertical="center"/>
      <protection locked="0"/>
    </xf>
    <xf numFmtId="0" fontId="31" fillId="4" borderId="6"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60" fillId="10" borderId="5" xfId="0" applyFont="1" applyFill="1" applyBorder="1" applyAlignment="1">
      <alignment horizontal="left" vertical="center"/>
    </xf>
    <xf numFmtId="0" fontId="60" fillId="10" borderId="2" xfId="0" applyFont="1" applyFill="1" applyBorder="1" applyAlignment="1">
      <alignment horizontal="left" vertical="center"/>
    </xf>
    <xf numFmtId="0" fontId="60" fillId="10" borderId="3" xfId="0" applyFont="1" applyFill="1" applyBorder="1" applyAlignment="1">
      <alignment horizontal="left" vertical="center"/>
    </xf>
    <xf numFmtId="0" fontId="22" fillId="5" borderId="6" xfId="0" applyFont="1" applyFill="1" applyBorder="1" applyAlignment="1" applyProtection="1">
      <alignment horizontal="left" vertical="top" wrapText="1"/>
      <protection hidden="1"/>
    </xf>
    <xf numFmtId="0" fontId="22" fillId="5" borderId="0" xfId="0" applyFont="1" applyFill="1" applyAlignment="1" applyProtection="1">
      <alignment horizontal="left" vertical="top" wrapText="1"/>
      <protection hidden="1"/>
    </xf>
    <xf numFmtId="14" fontId="3" fillId="5" borderId="0" xfId="0" applyNumberFormat="1" applyFont="1" applyFill="1" applyAlignment="1" applyProtection="1">
      <alignment horizontal="left" vertical="top" wrapText="1"/>
      <protection locked="0"/>
    </xf>
    <xf numFmtId="0" fontId="3" fillId="5" borderId="0" xfId="0" applyFont="1" applyFill="1" applyAlignment="1" applyProtection="1">
      <alignment horizontal="left" vertical="top" wrapText="1"/>
      <protection locked="0"/>
    </xf>
    <xf numFmtId="0" fontId="3" fillId="5" borderId="25"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22" fillId="5" borderId="6" xfId="0" applyFont="1" applyFill="1" applyBorder="1" applyAlignment="1">
      <alignment horizontal="left" vertical="top" wrapText="1"/>
    </xf>
    <xf numFmtId="0" fontId="22" fillId="5" borderId="0" xfId="0" applyFont="1" applyFill="1" applyAlignment="1">
      <alignment horizontal="left" vertical="top" wrapText="1"/>
    </xf>
    <xf numFmtId="0" fontId="31" fillId="12" borderId="5" xfId="0" applyFont="1" applyFill="1" applyBorder="1" applyAlignment="1">
      <alignment horizontal="center" vertical="center"/>
    </xf>
    <xf numFmtId="0" fontId="31" fillId="12" borderId="3" xfId="0" applyFont="1" applyFill="1" applyBorder="1" applyAlignment="1">
      <alignment horizontal="center" vertical="center"/>
    </xf>
    <xf numFmtId="0" fontId="3" fillId="5" borderId="0" xfId="0" applyFont="1" applyFill="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23" fillId="5" borderId="6" xfId="0" applyFont="1" applyFill="1" applyBorder="1" applyAlignment="1">
      <alignment horizontal="left" vertical="top" wrapText="1"/>
    </xf>
    <xf numFmtId="0" fontId="23" fillId="5" borderId="0" xfId="0" applyFont="1" applyFill="1" applyAlignment="1">
      <alignment horizontal="left" vertical="top" wrapText="1"/>
    </xf>
    <xf numFmtId="0" fontId="153" fillId="2" borderId="5" xfId="0" applyFont="1" applyFill="1" applyBorder="1" applyAlignment="1">
      <alignment horizontal="center" vertical="center" wrapText="1"/>
    </xf>
    <xf numFmtId="0" fontId="153" fillId="2" borderId="2" xfId="0" applyFont="1" applyFill="1" applyBorder="1" applyAlignment="1">
      <alignment horizontal="center" vertical="center"/>
    </xf>
    <xf numFmtId="0" fontId="153" fillId="2" borderId="3" xfId="0" applyFont="1" applyFill="1" applyBorder="1" applyAlignment="1">
      <alignment horizontal="center" vertical="center"/>
    </xf>
    <xf numFmtId="0" fontId="28" fillId="0" borderId="4" xfId="0" applyFont="1" applyBorder="1" applyAlignment="1">
      <alignment vertical="center"/>
    </xf>
    <xf numFmtId="0" fontId="84" fillId="0" borderId="4" xfId="0" applyFont="1" applyBorder="1" applyAlignment="1" applyProtection="1">
      <alignment horizontal="left" vertical="center" wrapText="1"/>
      <protection locked="0"/>
    </xf>
    <xf numFmtId="0" fontId="84" fillId="0" borderId="5" xfId="0" applyFont="1" applyBorder="1" applyAlignment="1" applyProtection="1">
      <alignment horizontal="left" vertical="center" wrapText="1"/>
      <protection locked="0"/>
    </xf>
    <xf numFmtId="0" fontId="84" fillId="0" borderId="3" xfId="0" applyFont="1" applyBorder="1" applyAlignment="1" applyProtection="1">
      <alignment horizontal="left" vertical="center" wrapText="1"/>
      <protection locked="0"/>
    </xf>
    <xf numFmtId="0" fontId="50" fillId="13" borderId="45"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47" xfId="0" applyFont="1" applyFill="1" applyBorder="1" applyAlignment="1">
      <alignment horizontal="center" vertical="center" wrapText="1"/>
    </xf>
    <xf numFmtId="0" fontId="87" fillId="5" borderId="5" xfId="0" applyFont="1" applyFill="1" applyBorder="1" applyAlignment="1">
      <alignment horizontal="left" vertical="center" wrapText="1"/>
    </xf>
    <xf numFmtId="0" fontId="87" fillId="5" borderId="3"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xf>
    <xf numFmtId="0" fontId="28" fillId="0" borderId="5" xfId="0"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5" fillId="0" borderId="0" xfId="0" applyFont="1" applyAlignment="1">
      <alignment vertical="center"/>
    </xf>
    <xf numFmtId="0" fontId="31" fillId="4" borderId="0" xfId="0" applyFont="1" applyFill="1" applyAlignment="1">
      <alignment vertical="center"/>
    </xf>
    <xf numFmtId="0" fontId="31" fillId="4" borderId="25" xfId="0" applyFont="1" applyFill="1" applyBorder="1" applyAlignment="1">
      <alignment vertical="center"/>
    </xf>
    <xf numFmtId="42" fontId="109" fillId="0" borderId="6" xfId="0" applyNumberFormat="1" applyFont="1" applyBorder="1" applyAlignment="1">
      <alignment horizontal="left" vertical="center" wrapText="1"/>
    </xf>
    <xf numFmtId="42" fontId="109" fillId="0" borderId="25" xfId="0" applyNumberFormat="1" applyFont="1" applyBorder="1" applyAlignment="1">
      <alignment horizontal="left" vertical="center" wrapText="1"/>
    </xf>
    <xf numFmtId="0" fontId="28" fillId="0" borderId="0" xfId="0" applyFont="1" applyAlignment="1" applyProtection="1">
      <alignment horizontal="center" vertical="center" wrapText="1"/>
      <protection hidden="1"/>
    </xf>
    <xf numFmtId="0" fontId="162" fillId="0" borderId="0" xfId="0" applyFont="1" applyAlignment="1">
      <alignment horizontal="center" vertical="center"/>
    </xf>
    <xf numFmtId="0" fontId="161" fillId="0" borderId="0" xfId="0" applyFont="1" applyAlignment="1">
      <alignment horizontal="center" vertical="center"/>
    </xf>
    <xf numFmtId="0" fontId="35" fillId="0" borderId="17" xfId="0" applyFont="1" applyBorder="1" applyAlignment="1">
      <alignment horizontal="right" vertical="center" wrapText="1"/>
    </xf>
    <xf numFmtId="0" fontId="35" fillId="0" borderId="18" xfId="0" applyFont="1" applyBorder="1" applyAlignment="1">
      <alignment horizontal="right" vertical="center" wrapText="1"/>
    </xf>
    <xf numFmtId="0" fontId="31" fillId="4" borderId="1"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96" fillId="0" borderId="0" xfId="0" applyFont="1" applyAlignment="1">
      <alignment horizontal="left" vertical="center" wrapText="1"/>
    </xf>
    <xf numFmtId="0" fontId="31" fillId="4" borderId="5" xfId="0" applyFont="1" applyFill="1" applyBorder="1" applyAlignment="1">
      <alignment vertical="center"/>
    </xf>
    <xf numFmtId="0" fontId="31" fillId="4" borderId="3" xfId="0" applyFont="1" applyFill="1" applyBorder="1" applyAlignment="1">
      <alignment vertical="center"/>
    </xf>
    <xf numFmtId="0" fontId="31" fillId="6" borderId="5" xfId="0" applyFont="1" applyFill="1" applyBorder="1" applyAlignment="1">
      <alignment horizontal="center" vertical="center"/>
    </xf>
    <xf numFmtId="0" fontId="31" fillId="6" borderId="2" xfId="0" applyFont="1" applyFill="1" applyBorder="1" applyAlignment="1">
      <alignment horizontal="center" vertical="center"/>
    </xf>
    <xf numFmtId="0" fontId="79" fillId="5" borderId="0" xfId="0" applyFont="1" applyFill="1" applyAlignment="1" applyProtection="1">
      <alignment horizontal="right" vertical="center" wrapText="1"/>
      <protection hidden="1"/>
    </xf>
    <xf numFmtId="0" fontId="28" fillId="5" borderId="6" xfId="0" applyFont="1" applyFill="1" applyBorder="1" applyAlignment="1">
      <alignment horizontal="left" vertical="center" wrapText="1"/>
    </xf>
    <xf numFmtId="0" fontId="28" fillId="5" borderId="0" xfId="0" applyFont="1" applyFill="1" applyAlignment="1">
      <alignment horizontal="left" vertical="center" wrapText="1"/>
    </xf>
    <xf numFmtId="0" fontId="11" fillId="6" borderId="5" xfId="0" applyFont="1" applyFill="1" applyBorder="1" applyAlignment="1">
      <alignment horizontal="center" vertical="center" wrapText="1"/>
    </xf>
    <xf numFmtId="0" fontId="11" fillId="6" borderId="3" xfId="0" applyFont="1" applyFill="1" applyBorder="1" applyAlignment="1">
      <alignment horizontal="center" vertical="center"/>
    </xf>
    <xf numFmtId="0" fontId="60" fillId="10" borderId="5" xfId="0" applyFont="1" applyFill="1" applyBorder="1" applyAlignment="1">
      <alignment vertical="center"/>
    </xf>
    <xf numFmtId="0" fontId="60" fillId="10" borderId="2" xfId="0" applyFont="1" applyFill="1" applyBorder="1" applyAlignment="1">
      <alignment vertical="center"/>
    </xf>
    <xf numFmtId="0" fontId="60" fillId="10" borderId="3" xfId="0" applyFont="1" applyFill="1" applyBorder="1" applyAlignment="1">
      <alignment vertical="center"/>
    </xf>
    <xf numFmtId="42" fontId="14" fillId="11" borderId="23" xfId="0" applyNumberFormat="1" applyFont="1" applyFill="1" applyBorder="1" applyAlignment="1">
      <alignment horizontal="right" vertical="center"/>
    </xf>
    <xf numFmtId="42" fontId="14" fillId="11" borderId="18" xfId="0" applyNumberFormat="1" applyFont="1" applyFill="1" applyBorder="1" applyAlignment="1">
      <alignment horizontal="right" vertical="center"/>
    </xf>
    <xf numFmtId="0" fontId="22" fillId="5" borderId="22" xfId="0" applyFont="1" applyFill="1" applyBorder="1" applyAlignment="1">
      <alignment horizontal="left" vertical="center" wrapText="1"/>
    </xf>
    <xf numFmtId="0" fontId="22" fillId="5" borderId="2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87" fillId="5" borderId="22" xfId="0" applyFont="1" applyFill="1" applyBorder="1" applyAlignment="1">
      <alignment horizontal="left" vertical="center"/>
    </xf>
    <xf numFmtId="0" fontId="87" fillId="5" borderId="24" xfId="0" applyFont="1" applyFill="1" applyBorder="1" applyAlignment="1">
      <alignment horizontal="left" vertical="center"/>
    </xf>
    <xf numFmtId="0" fontId="14" fillId="3" borderId="5" xfId="0" applyFont="1" applyFill="1" applyBorder="1" applyAlignment="1">
      <alignment horizontal="left" vertical="center"/>
    </xf>
    <xf numFmtId="0" fontId="14" fillId="3" borderId="3" xfId="0" applyFont="1" applyFill="1" applyBorder="1" applyAlignment="1">
      <alignment horizontal="left" vertical="center"/>
    </xf>
    <xf numFmtId="0" fontId="87" fillId="5" borderId="29" xfId="0" applyFont="1" applyFill="1" applyBorder="1" applyAlignment="1">
      <alignment horizontal="left" vertical="center" wrapText="1"/>
    </xf>
    <xf numFmtId="0" fontId="87" fillId="5" borderId="30" xfId="0" applyFont="1" applyFill="1" applyBorder="1" applyAlignment="1">
      <alignment horizontal="left" vertical="center" wrapText="1"/>
    </xf>
    <xf numFmtId="0" fontId="9" fillId="0" borderId="6" xfId="0" applyFont="1" applyBorder="1" applyAlignment="1">
      <alignment horizontal="center" wrapText="1"/>
    </xf>
    <xf numFmtId="0" fontId="9" fillId="0" borderId="25" xfId="0" applyFont="1" applyBorder="1" applyAlignment="1">
      <alignment horizontal="center" wrapText="1"/>
    </xf>
    <xf numFmtId="0" fontId="84" fillId="0" borderId="23" xfId="0" applyFont="1" applyBorder="1" applyAlignment="1" applyProtection="1">
      <alignment horizontal="left" vertical="center" wrapText="1"/>
      <protection locked="0"/>
    </xf>
    <xf numFmtId="0" fontId="84" fillId="0" borderId="18" xfId="0" applyFont="1" applyBorder="1" applyAlignment="1" applyProtection="1">
      <alignment horizontal="left" vertical="center" wrapText="1"/>
      <protection locked="0"/>
    </xf>
    <xf numFmtId="0" fontId="84" fillId="0" borderId="22" xfId="0" applyFont="1" applyBorder="1" applyAlignment="1" applyProtection="1">
      <alignment horizontal="left" vertical="center" wrapText="1"/>
      <protection locked="0"/>
    </xf>
    <xf numFmtId="0" fontId="84" fillId="0" borderId="24" xfId="0" applyFont="1" applyBorder="1" applyAlignment="1" applyProtection="1">
      <alignment horizontal="left" vertical="center" wrapText="1"/>
      <protection locked="0"/>
    </xf>
    <xf numFmtId="42" fontId="88" fillId="0" borderId="6" xfId="0" applyNumberFormat="1" applyFont="1" applyBorder="1" applyAlignment="1">
      <alignment horizontal="right" vertical="center"/>
    </xf>
    <xf numFmtId="42" fontId="88" fillId="0" borderId="25" xfId="0" applyNumberFormat="1" applyFont="1" applyBorder="1" applyAlignment="1">
      <alignment horizontal="right" vertical="center"/>
    </xf>
    <xf numFmtId="0" fontId="7" fillId="0" borderId="0" xfId="0" applyFont="1" applyAlignment="1">
      <alignment horizontal="center" vertical="center" wrapText="1"/>
    </xf>
    <xf numFmtId="0" fontId="3" fillId="5" borderId="0" xfId="0" applyFont="1" applyFill="1" applyAlignment="1">
      <alignment horizontal="center" vertical="center" wrapText="1"/>
    </xf>
    <xf numFmtId="0" fontId="3" fillId="5" borderId="25" xfId="0" applyFont="1" applyFill="1" applyBorder="1" applyAlignment="1">
      <alignment horizontal="center" vertical="center" wrapText="1"/>
    </xf>
    <xf numFmtId="0" fontId="24" fillId="0" borderId="0" xfId="0" applyFont="1" applyAlignment="1">
      <alignment horizontal="center" vertical="center" wrapText="1"/>
    </xf>
    <xf numFmtId="0" fontId="35" fillId="5" borderId="0" xfId="0" applyFont="1" applyFill="1" applyAlignment="1" applyProtection="1">
      <alignment horizontal="right" vertical="center" wrapText="1"/>
      <protection hidden="1"/>
    </xf>
    <xf numFmtId="0" fontId="14" fillId="6" borderId="5" xfId="0" applyFont="1" applyFill="1" applyBorder="1" applyAlignment="1">
      <alignment horizontal="center" vertical="center" wrapText="1"/>
    </xf>
    <xf numFmtId="0" fontId="14" fillId="6" borderId="3" xfId="0" applyFont="1" applyFill="1" applyBorder="1" applyAlignment="1">
      <alignment horizontal="center" vertical="center"/>
    </xf>
    <xf numFmtId="42" fontId="3" fillId="0" borderId="6" xfId="0" applyNumberFormat="1" applyFont="1" applyBorder="1" applyAlignment="1">
      <alignment horizontal="right" vertical="center"/>
    </xf>
    <xf numFmtId="42" fontId="3" fillId="0" borderId="25" xfId="0" applyNumberFormat="1" applyFont="1" applyBorder="1" applyAlignment="1">
      <alignment horizontal="right" vertical="center"/>
    </xf>
    <xf numFmtId="0" fontId="135" fillId="0" borderId="0" xfId="0" applyFont="1" applyAlignment="1">
      <alignment horizontal="center" vertical="center"/>
    </xf>
    <xf numFmtId="0" fontId="38" fillId="3" borderId="0" xfId="0" applyFont="1" applyFill="1" applyAlignment="1">
      <alignment horizontal="center" vertical="center"/>
    </xf>
    <xf numFmtId="0" fontId="96" fillId="0" borderId="0" xfId="0" applyFont="1" applyAlignment="1">
      <alignment horizontal="left" vertical="center"/>
    </xf>
    <xf numFmtId="0" fontId="148" fillId="0" borderId="0" xfId="0" applyFont="1" applyAlignment="1">
      <alignment vertical="center"/>
    </xf>
    <xf numFmtId="42" fontId="128" fillId="8" borderId="5" xfId="0" quotePrefix="1" applyNumberFormat="1" applyFont="1" applyFill="1" applyBorder="1" applyAlignment="1">
      <alignment horizontal="center" vertical="center" wrapText="1"/>
    </xf>
    <xf numFmtId="42" fontId="128" fillId="8" borderId="3" xfId="0" quotePrefix="1" applyNumberFormat="1" applyFont="1" applyFill="1" applyBorder="1" applyAlignment="1">
      <alignment horizontal="center" vertical="center" wrapText="1"/>
    </xf>
    <xf numFmtId="0" fontId="84" fillId="0" borderId="5" xfId="0" applyFont="1" applyBorder="1" applyAlignment="1">
      <alignment horizontal="left" vertical="center" wrapText="1"/>
    </xf>
    <xf numFmtId="0" fontId="84" fillId="0" borderId="3" xfId="0" applyFont="1" applyBorder="1" applyAlignment="1">
      <alignment horizontal="left" vertical="center" wrapText="1"/>
    </xf>
    <xf numFmtId="0" fontId="109" fillId="8" borderId="5" xfId="0" applyFont="1" applyFill="1" applyBorder="1" applyAlignment="1">
      <alignment horizontal="left" vertical="center" wrapText="1"/>
    </xf>
    <xf numFmtId="0" fontId="109" fillId="8" borderId="3" xfId="0" applyFont="1" applyFill="1" applyBorder="1" applyAlignment="1">
      <alignment horizontal="left" vertical="center" wrapText="1"/>
    </xf>
    <xf numFmtId="0" fontId="84" fillId="8" borderId="5" xfId="0" applyFont="1" applyFill="1" applyBorder="1" applyAlignment="1">
      <alignment vertical="center" wrapText="1"/>
    </xf>
    <xf numFmtId="0" fontId="84" fillId="8" borderId="3" xfId="0" applyFont="1" applyFill="1" applyBorder="1" applyAlignment="1">
      <alignment vertical="center" wrapText="1"/>
    </xf>
    <xf numFmtId="0" fontId="66" fillId="0" borderId="32" xfId="0" applyFont="1" applyBorder="1" applyAlignment="1">
      <alignment horizontal="left" vertical="center" wrapText="1"/>
    </xf>
    <xf numFmtId="0" fontId="66" fillId="0" borderId="41" xfId="0" applyFont="1" applyBorder="1" applyAlignment="1">
      <alignment horizontal="left" vertical="center" wrapText="1"/>
    </xf>
    <xf numFmtId="0" fontId="66" fillId="0" borderId="35" xfId="0" applyFont="1" applyBorder="1" applyAlignment="1">
      <alignment horizontal="left" vertical="center" wrapTex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24" fillId="2" borderId="35"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36" xfId="0" applyFont="1" applyFill="1" applyBorder="1" applyAlignment="1" applyProtection="1">
      <alignment horizontal="center" vertical="center"/>
      <protection locked="0"/>
    </xf>
    <xf numFmtId="0" fontId="22" fillId="0" borderId="0" xfId="1" applyFont="1" applyAlignment="1" applyProtection="1">
      <alignment horizontal="left" vertical="center" wrapText="1"/>
    </xf>
    <xf numFmtId="166" fontId="164" fillId="7" borderId="23" xfId="1" applyNumberFormat="1" applyFont="1" applyFill="1" applyBorder="1" applyAlignment="1" applyProtection="1">
      <alignment horizontal="center" vertical="center" wrapText="1"/>
    </xf>
    <xf numFmtId="166" fontId="164" fillId="7" borderId="18" xfId="1" applyNumberFormat="1" applyFont="1" applyFill="1" applyBorder="1" applyAlignment="1" applyProtection="1">
      <alignment horizontal="center" vertical="center" wrapText="1"/>
    </xf>
    <xf numFmtId="166" fontId="164" fillId="7" borderId="22" xfId="1" applyNumberFormat="1" applyFont="1" applyFill="1" applyBorder="1" applyAlignment="1" applyProtection="1">
      <alignment horizontal="center" vertical="center" wrapText="1"/>
    </xf>
    <xf numFmtId="166" fontId="164" fillId="7" borderId="24" xfId="1" applyNumberFormat="1" applyFont="1" applyFill="1" applyBorder="1" applyAlignment="1" applyProtection="1">
      <alignment horizontal="center" vertical="center" wrapText="1"/>
    </xf>
    <xf numFmtId="166" fontId="22" fillId="0" borderId="0" xfId="0" applyNumberFormat="1" applyFont="1" applyAlignment="1">
      <alignment horizontal="left" vertical="center" wrapText="1"/>
    </xf>
    <xf numFmtId="166" fontId="22" fillId="0" borderId="0" xfId="0" applyNumberFormat="1" applyFont="1" applyAlignment="1">
      <alignment horizontal="left" vertical="center"/>
    </xf>
    <xf numFmtId="166" fontId="93" fillId="0" borderId="0" xfId="0" applyNumberFormat="1" applyFont="1" applyAlignment="1">
      <alignment horizontal="left" vertical="top"/>
    </xf>
    <xf numFmtId="0" fontId="29" fillId="0" borderId="45" xfId="0" applyFont="1" applyBorder="1" applyAlignment="1">
      <alignment horizontal="right" vertical="center" wrapText="1"/>
    </xf>
    <xf numFmtId="0" fontId="29" fillId="0" borderId="46" xfId="0" applyFont="1" applyBorder="1" applyAlignment="1">
      <alignment horizontal="right" vertical="center" wrapText="1"/>
    </xf>
    <xf numFmtId="166" fontId="114" fillId="0" borderId="0" xfId="0" applyNumberFormat="1" applyFont="1" applyAlignment="1">
      <alignment horizontal="left" vertical="center"/>
    </xf>
    <xf numFmtId="166" fontId="111" fillId="0" borderId="0" xfId="0" quotePrefix="1" applyNumberFormat="1" applyFont="1" applyAlignment="1">
      <alignment horizontal="left"/>
    </xf>
    <xf numFmtId="166" fontId="15" fillId="3" borderId="0" xfId="0" applyNumberFormat="1" applyFont="1" applyFill="1" applyAlignment="1">
      <alignment horizontal="center" vertical="center"/>
    </xf>
    <xf numFmtId="166" fontId="129" fillId="5" borderId="0" xfId="0" applyNumberFormat="1" applyFont="1" applyFill="1" applyAlignment="1">
      <alignment horizontal="left" vertical="center" wrapText="1"/>
    </xf>
    <xf numFmtId="166" fontId="129" fillId="5" borderId="61" xfId="0" applyNumberFormat="1" applyFont="1" applyFill="1" applyBorder="1" applyAlignment="1">
      <alignment horizontal="left" vertical="center" wrapText="1"/>
    </xf>
    <xf numFmtId="166" fontId="129" fillId="5" borderId="56" xfId="0" applyNumberFormat="1" applyFont="1" applyFill="1" applyBorder="1" applyAlignment="1">
      <alignment horizontal="left" vertical="center" wrapText="1"/>
    </xf>
    <xf numFmtId="0" fontId="93" fillId="0" borderId="0" xfId="0" applyFont="1" applyAlignment="1">
      <alignment horizontal="center" vertical="center" wrapText="1"/>
    </xf>
    <xf numFmtId="0" fontId="29" fillId="7" borderId="19" xfId="0" applyFont="1" applyFill="1" applyBorder="1" applyAlignment="1">
      <alignment horizontal="center" vertical="center" wrapText="1"/>
    </xf>
    <xf numFmtId="0" fontId="29" fillId="7" borderId="26" xfId="0" applyFont="1" applyFill="1" applyBorder="1" applyAlignment="1">
      <alignment horizontal="center" vertical="center" wrapText="1"/>
    </xf>
    <xf numFmtId="0" fontId="29" fillId="7" borderId="20" xfId="0" applyFont="1" applyFill="1" applyBorder="1" applyAlignment="1">
      <alignment horizontal="center" vertical="center" wrapText="1"/>
    </xf>
    <xf numFmtId="166" fontId="54" fillId="0" borderId="0" xfId="0" applyNumberFormat="1" applyFont="1" applyAlignment="1">
      <alignment horizontal="left" vertical="center"/>
    </xf>
    <xf numFmtId="3" fontId="80" fillId="0" borderId="45" xfId="0" applyNumberFormat="1" applyFont="1" applyBorder="1" applyAlignment="1">
      <alignment horizontal="right" vertical="center" wrapText="1"/>
    </xf>
    <xf numFmtId="3" fontId="80" fillId="0" borderId="74" xfId="0" applyNumberFormat="1" applyFont="1" applyBorder="1" applyAlignment="1">
      <alignment horizontal="right" vertical="center" wrapText="1"/>
    </xf>
    <xf numFmtId="173" fontId="104" fillId="0" borderId="0" xfId="0" applyNumberFormat="1" applyFont="1" applyAlignment="1">
      <alignment horizontal="center" vertical="center" wrapText="1"/>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50" xfId="0" applyFont="1" applyFill="1" applyBorder="1" applyAlignment="1">
      <alignment horizontal="center" vertical="center" wrapText="1"/>
    </xf>
    <xf numFmtId="0" fontId="30" fillId="4" borderId="52" xfId="0" applyFont="1" applyFill="1" applyBorder="1" applyAlignment="1">
      <alignment horizontal="center" vertical="center" wrapText="1"/>
    </xf>
    <xf numFmtId="0" fontId="30" fillId="4" borderId="54" xfId="0" applyFont="1" applyFill="1" applyBorder="1" applyAlignment="1">
      <alignment horizontal="center" vertical="center" wrapText="1"/>
    </xf>
    <xf numFmtId="166" fontId="14" fillId="4" borderId="48" xfId="0" applyNumberFormat="1" applyFont="1" applyFill="1" applyBorder="1" applyAlignment="1">
      <alignment horizontal="center" vertical="center"/>
    </xf>
    <xf numFmtId="166" fontId="14" fillId="4" borderId="49" xfId="0" applyNumberFormat="1" applyFont="1" applyFill="1" applyBorder="1" applyAlignment="1">
      <alignment horizontal="center" vertical="center"/>
    </xf>
    <xf numFmtId="166" fontId="14" fillId="4" borderId="50" xfId="0" applyNumberFormat="1" applyFont="1" applyFill="1" applyBorder="1" applyAlignment="1">
      <alignment horizontal="center" vertical="center"/>
    </xf>
    <xf numFmtId="0" fontId="25" fillId="0" borderId="0" xfId="1" applyFont="1" applyFill="1" applyAlignment="1" applyProtection="1">
      <alignment horizontal="left" vertical="center"/>
    </xf>
    <xf numFmtId="166" fontId="15" fillId="3" borderId="0" xfId="0" applyNumberFormat="1" applyFont="1" applyFill="1" applyAlignment="1">
      <alignment horizontal="center" vertical="center" wrapText="1"/>
    </xf>
    <xf numFmtId="0" fontId="129" fillId="5" borderId="45" xfId="0" applyFont="1" applyFill="1" applyBorder="1" applyAlignment="1">
      <alignment horizontal="center" vertical="center"/>
    </xf>
    <xf numFmtId="0" fontId="129" fillId="5" borderId="46" xfId="0" applyFont="1" applyFill="1" applyBorder="1" applyAlignment="1">
      <alignment horizontal="center" vertical="center"/>
    </xf>
    <xf numFmtId="0" fontId="129" fillId="5" borderId="47" xfId="0" applyFont="1" applyFill="1" applyBorder="1" applyAlignment="1">
      <alignment horizontal="center" vertical="center"/>
    </xf>
    <xf numFmtId="0" fontId="155" fillId="0" borderId="0" xfId="0" applyFont="1" applyAlignment="1">
      <alignment vertical="center"/>
    </xf>
    <xf numFmtId="0" fontId="157" fillId="0" borderId="0" xfId="1" applyFont="1" applyFill="1" applyAlignment="1" applyProtection="1">
      <alignment vertical="center"/>
    </xf>
    <xf numFmtId="0" fontId="25" fillId="0" borderId="0" xfId="1" applyFont="1" applyFill="1" applyAlignment="1" applyProtection="1">
      <alignment vertical="center"/>
    </xf>
    <xf numFmtId="0" fontId="145" fillId="0" borderId="0" xfId="0" applyFont="1" applyAlignment="1">
      <alignment horizontal="left" vertical="center"/>
    </xf>
    <xf numFmtId="0" fontId="129" fillId="5" borderId="63" xfId="0" applyFont="1" applyFill="1" applyBorder="1" applyAlignment="1">
      <alignment horizontal="center" vertical="center"/>
    </xf>
    <xf numFmtId="0" fontId="129" fillId="5" borderId="64" xfId="0" applyFont="1" applyFill="1" applyBorder="1" applyAlignment="1">
      <alignment horizontal="center" vertical="center"/>
    </xf>
    <xf numFmtId="0" fontId="129" fillId="5" borderId="65" xfId="0" applyFont="1" applyFill="1" applyBorder="1" applyAlignment="1">
      <alignment horizontal="center" vertical="center"/>
    </xf>
    <xf numFmtId="0" fontId="41" fillId="7" borderId="17" xfId="1" applyFont="1" applyFill="1" applyBorder="1" applyAlignment="1" applyProtection="1">
      <alignment horizontal="left" vertical="center"/>
    </xf>
    <xf numFmtId="0" fontId="41" fillId="7" borderId="18" xfId="1" applyFont="1" applyFill="1" applyBorder="1" applyAlignment="1" applyProtection="1">
      <alignment horizontal="left" vertical="center"/>
    </xf>
    <xf numFmtId="0" fontId="41" fillId="7" borderId="0" xfId="1" applyFont="1" applyFill="1" applyBorder="1" applyAlignment="1" applyProtection="1">
      <alignment horizontal="left" vertical="center"/>
    </xf>
    <xf numFmtId="0" fontId="41" fillId="7" borderId="25" xfId="1" applyFont="1" applyFill="1" applyBorder="1" applyAlignment="1" applyProtection="1">
      <alignment horizontal="left" vertical="center"/>
    </xf>
    <xf numFmtId="0" fontId="84" fillId="0" borderId="0" xfId="0" applyFont="1" applyAlignment="1" applyProtection="1">
      <alignment horizontal="left" vertical="center" wrapText="1"/>
      <protection locked="0"/>
    </xf>
    <xf numFmtId="0" fontId="43" fillId="0" borderId="0" xfId="0" applyFont="1" applyAlignment="1">
      <alignment horizontal="right"/>
    </xf>
    <xf numFmtId="0" fontId="35" fillId="0" borderId="0" xfId="0" applyFont="1" applyAlignment="1">
      <alignment vertical="center"/>
    </xf>
    <xf numFmtId="0" fontId="3" fillId="0" borderId="0" xfId="0" applyFont="1" applyAlignment="1" applyProtection="1">
      <alignment horizontal="left" vertical="center" wrapText="1"/>
      <protection hidden="1"/>
    </xf>
    <xf numFmtId="0" fontId="35" fillId="0" borderId="0" xfId="0" applyFont="1" applyAlignment="1">
      <alignment horizontal="center" vertical="center"/>
    </xf>
    <xf numFmtId="0" fontId="15" fillId="6" borderId="5"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3" fillId="0" borderId="0" xfId="0" applyFont="1" applyAlignment="1" applyProtection="1">
      <alignment horizontal="left" vertical="top" wrapText="1"/>
      <protection locked="0"/>
    </xf>
    <xf numFmtId="0" fontId="15" fillId="0" borderId="0" xfId="0" applyFont="1" applyAlignment="1">
      <alignment horizontal="center" vertical="center"/>
    </xf>
    <xf numFmtId="0" fontId="41" fillId="7" borderId="1" xfId="0" applyFont="1" applyFill="1" applyBorder="1" applyAlignment="1">
      <alignment horizontal="left" vertical="center"/>
    </xf>
    <xf numFmtId="0" fontId="41" fillId="7" borderId="24" xfId="0" applyFont="1" applyFill="1" applyBorder="1" applyAlignment="1">
      <alignment horizontal="left" vertical="center"/>
    </xf>
    <xf numFmtId="0" fontId="3" fillId="7" borderId="5"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22" fillId="0" borderId="0" xfId="0" applyFont="1" applyAlignment="1" applyProtection="1">
      <alignment horizontal="left" vertical="center" wrapText="1"/>
      <protection hidden="1"/>
    </xf>
    <xf numFmtId="0" fontId="22" fillId="0" borderId="25" xfId="0" applyFont="1" applyBorder="1" applyAlignment="1">
      <alignment horizontal="left" vertical="center" wrapText="1"/>
    </xf>
    <xf numFmtId="0" fontId="29" fillId="0" borderId="74" xfId="0" applyFont="1" applyBorder="1" applyAlignment="1">
      <alignment horizontal="right" vertical="center" wrapText="1"/>
    </xf>
    <xf numFmtId="166" fontId="108" fillId="0" borderId="0" xfId="0" applyNumberFormat="1" applyFont="1" applyAlignment="1">
      <alignment horizontal="left" vertical="top"/>
    </xf>
    <xf numFmtId="166" fontId="50" fillId="13" borderId="5" xfId="0" applyNumberFormat="1" applyFont="1" applyFill="1" applyBorder="1" applyAlignment="1">
      <alignment horizontal="center" vertical="center"/>
    </xf>
    <xf numFmtId="166" fontId="50" fillId="13" borderId="2" xfId="0" applyNumberFormat="1" applyFont="1" applyFill="1" applyBorder="1" applyAlignment="1">
      <alignment horizontal="center" vertical="center"/>
    </xf>
    <xf numFmtId="166" fontId="50" fillId="13" borderId="3" xfId="0" applyNumberFormat="1" applyFont="1" applyFill="1" applyBorder="1" applyAlignment="1">
      <alignment horizontal="center" vertical="center"/>
    </xf>
    <xf numFmtId="0" fontId="22" fillId="0" borderId="0" xfId="0" quotePrefix="1" applyFont="1" applyAlignment="1">
      <alignment vertical="center" wrapText="1"/>
    </xf>
    <xf numFmtId="0" fontId="22" fillId="0" borderId="0" xfId="0" quotePrefix="1" applyFont="1" applyAlignment="1">
      <alignment horizontal="left" vertical="center" wrapText="1"/>
    </xf>
    <xf numFmtId="166" fontId="15" fillId="6" borderId="5" xfId="0" applyNumberFormat="1" applyFont="1" applyFill="1" applyBorder="1" applyAlignment="1">
      <alignment horizontal="center" vertical="center"/>
    </xf>
    <xf numFmtId="166" fontId="15" fillId="6" borderId="2" xfId="0" applyNumberFormat="1" applyFont="1" applyFill="1" applyBorder="1" applyAlignment="1">
      <alignment horizontal="center" vertical="center"/>
    </xf>
    <xf numFmtId="166" fontId="15" fillId="6" borderId="3" xfId="0" applyNumberFormat="1" applyFont="1" applyFill="1" applyBorder="1" applyAlignment="1">
      <alignment horizontal="center" vertical="center"/>
    </xf>
    <xf numFmtId="0" fontId="15" fillId="3" borderId="6" xfId="0" quotePrefix="1" applyFont="1" applyFill="1" applyBorder="1" applyAlignment="1">
      <alignment horizontal="center" vertical="center" wrapText="1"/>
    </xf>
    <xf numFmtId="0" fontId="15" fillId="3" borderId="0" xfId="0" quotePrefix="1" applyFont="1" applyFill="1" applyAlignment="1">
      <alignment horizontal="center" vertical="center" wrapText="1"/>
    </xf>
    <xf numFmtId="166" fontId="129" fillId="7" borderId="8" xfId="0" applyNumberFormat="1" applyFont="1" applyFill="1" applyBorder="1" applyAlignment="1">
      <alignment horizontal="left" vertical="center" wrapText="1"/>
    </xf>
    <xf numFmtId="166" fontId="129" fillId="7" borderId="0" xfId="0" applyNumberFormat="1" applyFont="1" applyFill="1" applyAlignment="1">
      <alignment horizontal="left" vertical="center" wrapText="1"/>
    </xf>
    <xf numFmtId="166" fontId="14" fillId="6" borderId="48" xfId="0" applyNumberFormat="1" applyFont="1" applyFill="1" applyBorder="1" applyAlignment="1">
      <alignment horizontal="center" vertical="center"/>
    </xf>
    <xf numFmtId="166" fontId="14" fillId="6" borderId="49" xfId="0" applyNumberFormat="1" applyFont="1" applyFill="1" applyBorder="1" applyAlignment="1">
      <alignment horizontal="center" vertical="center"/>
    </xf>
    <xf numFmtId="166" fontId="14" fillId="6" borderId="50" xfId="0" applyNumberFormat="1" applyFont="1" applyFill="1" applyBorder="1" applyAlignment="1">
      <alignment horizontal="center" vertical="center"/>
    </xf>
    <xf numFmtId="166" fontId="129" fillId="7" borderId="13" xfId="0" applyNumberFormat="1" applyFont="1" applyFill="1" applyBorder="1" applyAlignment="1">
      <alignment horizontal="left" vertical="center" wrapText="1"/>
    </xf>
    <xf numFmtId="0" fontId="14"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48"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50" xfId="0" applyFont="1" applyFill="1" applyBorder="1" applyAlignment="1">
      <alignment horizontal="center" vertical="center"/>
    </xf>
    <xf numFmtId="166" fontId="15" fillId="3" borderId="6" xfId="0" applyNumberFormat="1" applyFont="1" applyFill="1" applyBorder="1" applyAlignment="1">
      <alignment horizontal="center" vertical="center" wrapText="1"/>
    </xf>
    <xf numFmtId="0" fontId="129" fillId="7" borderId="27" xfId="0" applyFont="1" applyFill="1" applyBorder="1" applyAlignment="1">
      <alignment horizontal="center" vertical="center"/>
    </xf>
    <xf numFmtId="0" fontId="129" fillId="7" borderId="21" xfId="0" applyFont="1" applyFill="1" applyBorder="1" applyAlignment="1">
      <alignment horizontal="center" vertical="center"/>
    </xf>
    <xf numFmtId="0" fontId="129" fillId="7" borderId="28" xfId="0" applyFont="1" applyFill="1" applyBorder="1" applyAlignment="1">
      <alignment horizontal="center" vertical="center"/>
    </xf>
    <xf numFmtId="0" fontId="40" fillId="7" borderId="21" xfId="0" applyFont="1" applyFill="1" applyBorder="1" applyAlignment="1">
      <alignment horizontal="center" vertical="center"/>
    </xf>
    <xf numFmtId="0" fontId="40" fillId="7" borderId="28" xfId="0" applyFont="1" applyFill="1" applyBorder="1" applyAlignment="1">
      <alignment horizontal="center" vertical="center"/>
    </xf>
    <xf numFmtId="166" fontId="15" fillId="6" borderId="5" xfId="0" applyNumberFormat="1" applyFont="1" applyFill="1" applyBorder="1" applyAlignment="1">
      <alignment horizontal="center" vertical="center" wrapText="1"/>
    </xf>
    <xf numFmtId="166" fontId="15" fillId="6" borderId="2" xfId="0" applyNumberFormat="1" applyFont="1" applyFill="1" applyBorder="1" applyAlignment="1">
      <alignment horizontal="center" vertical="center" wrapText="1"/>
    </xf>
    <xf numFmtId="166" fontId="15" fillId="6" borderId="3" xfId="0" applyNumberFormat="1" applyFont="1" applyFill="1" applyBorder="1" applyAlignment="1">
      <alignment horizontal="center" vertical="center" wrapText="1"/>
    </xf>
    <xf numFmtId="0" fontId="40" fillId="7" borderId="27" xfId="0" applyFont="1" applyFill="1" applyBorder="1" applyAlignment="1">
      <alignment horizontal="center" vertical="center"/>
    </xf>
    <xf numFmtId="0" fontId="39" fillId="0" borderId="0" xfId="0" applyFont="1" applyAlignment="1">
      <alignment vertical="center"/>
    </xf>
    <xf numFmtId="166" fontId="38" fillId="3" borderId="0" xfId="0" applyNumberFormat="1" applyFont="1" applyFill="1" applyAlignment="1">
      <alignment horizontal="left" vertical="center"/>
    </xf>
    <xf numFmtId="0" fontId="146" fillId="0" borderId="0" xfId="0" applyFont="1" applyAlignment="1">
      <alignment vertical="center"/>
    </xf>
    <xf numFmtId="0" fontId="39" fillId="0" borderId="0" xfId="1" applyFont="1" applyAlignment="1" applyProtection="1">
      <alignment horizontal="left" vertical="center"/>
    </xf>
    <xf numFmtId="0" fontId="42" fillId="0" borderId="66" xfId="0" applyFont="1" applyBorder="1" applyAlignment="1" applyProtection="1">
      <alignment horizontal="left" vertical="center" wrapText="1"/>
      <protection locked="0"/>
    </xf>
    <xf numFmtId="0" fontId="42" fillId="0" borderId="15" xfId="0" applyFont="1" applyBorder="1" applyAlignment="1" applyProtection="1">
      <alignment horizontal="left" vertical="center" wrapText="1"/>
      <protection locked="0"/>
    </xf>
    <xf numFmtId="0" fontId="31" fillId="3" borderId="5"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0" xfId="0" applyFont="1" applyFill="1" applyAlignment="1">
      <alignment horizontal="center" vertical="center"/>
    </xf>
    <xf numFmtId="168" fontId="21" fillId="0" borderId="19" xfId="0" applyNumberFormat="1" applyFont="1" applyBorder="1" applyAlignment="1" applyProtection="1">
      <alignment horizontal="center" vertical="center"/>
      <protection locked="0"/>
    </xf>
    <xf numFmtId="168" fontId="21" fillId="0" borderId="20" xfId="0" applyNumberFormat="1" applyFont="1" applyBorder="1" applyAlignment="1" applyProtection="1">
      <alignment horizontal="center" vertical="center"/>
      <protection locked="0"/>
    </xf>
    <xf numFmtId="0" fontId="22" fillId="0" borderId="6" xfId="0" applyFont="1" applyBorder="1" applyAlignment="1">
      <alignment vertical="center"/>
    </xf>
    <xf numFmtId="0" fontId="22" fillId="0" borderId="0" xfId="0" applyFont="1" applyAlignment="1">
      <alignment vertical="center"/>
    </xf>
    <xf numFmtId="0" fontId="37" fillId="0" borderId="0" xfId="0" applyFont="1" applyAlignment="1">
      <alignment horizontal="center" vertical="center" wrapText="1"/>
    </xf>
    <xf numFmtId="0" fontId="59" fillId="0" borderId="1" xfId="0" applyFont="1" applyBorder="1" applyAlignment="1">
      <alignment horizontal="center" vertical="center"/>
    </xf>
    <xf numFmtId="0" fontId="59" fillId="0" borderId="17" xfId="0"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horizontal="center" vertical="center"/>
    </xf>
    <xf numFmtId="0" fontId="22" fillId="5" borderId="23" xfId="0" applyFont="1" applyFill="1" applyBorder="1" applyAlignment="1">
      <alignment vertical="top"/>
    </xf>
    <xf numFmtId="0" fontId="22" fillId="5" borderId="17" xfId="0" applyFont="1" applyFill="1" applyBorder="1" applyAlignment="1">
      <alignment vertical="top"/>
    </xf>
    <xf numFmtId="0" fontId="61" fillId="5" borderId="17" xfId="0" applyFont="1" applyFill="1" applyBorder="1" applyAlignment="1">
      <alignment horizontal="left" vertical="top" wrapText="1"/>
    </xf>
    <xf numFmtId="0" fontId="61" fillId="5" borderId="18" xfId="0" applyFont="1" applyFill="1" applyBorder="1" applyAlignment="1">
      <alignment horizontal="left" vertical="top" wrapText="1"/>
    </xf>
    <xf numFmtId="0" fontId="22" fillId="5" borderId="6" xfId="0" applyFont="1" applyFill="1" applyBorder="1" applyAlignment="1">
      <alignment vertical="top"/>
    </xf>
    <xf numFmtId="0" fontId="22" fillId="5" borderId="0" xfId="0" applyFont="1" applyFill="1" applyAlignment="1">
      <alignment vertical="top"/>
    </xf>
    <xf numFmtId="0" fontId="61" fillId="5" borderId="0" xfId="0" applyFont="1" applyFill="1" applyAlignment="1">
      <alignment horizontal="left" vertical="top" wrapText="1"/>
    </xf>
    <xf numFmtId="0" fontId="61" fillId="5" borderId="25" xfId="0" applyFont="1" applyFill="1" applyBorder="1" applyAlignment="1">
      <alignment horizontal="left" vertical="top" wrapText="1"/>
    </xf>
    <xf numFmtId="0" fontId="22" fillId="5" borderId="23"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36" fillId="0" borderId="0" xfId="0" applyFont="1" applyAlignment="1">
      <alignment vertical="top"/>
    </xf>
    <xf numFmtId="164" fontId="13" fillId="0" borderId="5" xfId="0" applyNumberFormat="1"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36" fillId="0" borderId="0" xfId="0" applyFont="1" applyAlignment="1">
      <alignment horizontal="left" vertical="center" wrapText="1"/>
    </xf>
    <xf numFmtId="0" fontId="24" fillId="5" borderId="0" xfId="0" applyFont="1" applyFill="1" applyAlignment="1">
      <alignment horizontal="left" vertical="center" wrapText="1"/>
    </xf>
    <xf numFmtId="0" fontId="24" fillId="5" borderId="25" xfId="0" applyFont="1" applyFill="1" applyBorder="1" applyAlignment="1">
      <alignment horizontal="left" vertical="center" wrapText="1"/>
    </xf>
    <xf numFmtId="0" fontId="22" fillId="5" borderId="23" xfId="0" applyFont="1" applyFill="1" applyBorder="1" applyAlignment="1">
      <alignment vertical="center" wrapText="1"/>
    </xf>
    <xf numFmtId="0" fontId="22" fillId="5" borderId="17" xfId="0" applyFont="1" applyFill="1" applyBorder="1" applyAlignment="1">
      <alignment vertical="center" wrapText="1"/>
    </xf>
    <xf numFmtId="0" fontId="35" fillId="0" borderId="17" xfId="0" applyFont="1" applyBorder="1" applyAlignment="1" applyProtection="1">
      <alignment horizontal="left" vertical="center"/>
      <protection locked="0"/>
    </xf>
    <xf numFmtId="0" fontId="61" fillId="0" borderId="5" xfId="0" applyFont="1" applyBorder="1" applyAlignment="1" applyProtection="1">
      <alignment horizontal="left" vertical="top" wrapText="1"/>
      <protection locked="0"/>
    </xf>
    <xf numFmtId="0" fontId="61" fillId="0" borderId="2" xfId="0" applyFont="1" applyBorder="1" applyAlignment="1" applyProtection="1">
      <alignment horizontal="left" vertical="top" wrapText="1"/>
      <protection locked="0"/>
    </xf>
    <xf numFmtId="0" fontId="61"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5" borderId="0" xfId="0" applyFont="1" applyFill="1" applyAlignment="1">
      <alignment horizontal="left" vertical="center" wrapText="1"/>
    </xf>
    <xf numFmtId="0" fontId="3" fillId="5" borderId="25" xfId="0" applyFont="1" applyFill="1" applyBorder="1" applyAlignment="1">
      <alignment horizontal="left" vertical="center" wrapText="1"/>
    </xf>
    <xf numFmtId="0" fontId="22" fillId="5" borderId="23" xfId="0" applyFont="1" applyFill="1" applyBorder="1" applyAlignment="1">
      <alignment vertical="center"/>
    </xf>
    <xf numFmtId="0" fontId="22" fillId="5" borderId="17" xfId="0" applyFont="1" applyFill="1" applyBorder="1" applyAlignment="1">
      <alignment vertical="center"/>
    </xf>
    <xf numFmtId="0" fontId="24" fillId="5" borderId="17" xfId="0" applyFont="1" applyFill="1" applyBorder="1" applyAlignment="1" applyProtection="1">
      <alignment horizontal="left" vertical="center"/>
      <protection locked="0"/>
    </xf>
    <xf numFmtId="0" fontId="24" fillId="5" borderId="18" xfId="0" applyFont="1" applyFill="1" applyBorder="1" applyAlignment="1" applyProtection="1">
      <alignment horizontal="left" vertical="center"/>
      <protection locked="0"/>
    </xf>
    <xf numFmtId="0" fontId="84" fillId="0" borderId="23" xfId="0" applyFont="1" applyBorder="1" applyAlignment="1">
      <alignment horizontal="left" vertical="center" wrapText="1"/>
    </xf>
    <xf numFmtId="0" fontId="84" fillId="0" borderId="6" xfId="0" applyFont="1" applyBorder="1" applyAlignment="1">
      <alignment horizontal="left" vertical="center" wrapText="1"/>
    </xf>
    <xf numFmtId="0" fontId="84" fillId="0" borderId="22" xfId="0" applyFont="1" applyBorder="1" applyAlignment="1">
      <alignment horizontal="left" vertical="center" wrapText="1"/>
    </xf>
    <xf numFmtId="0" fontId="85" fillId="0" borderId="23" xfId="0" applyFont="1" applyBorder="1" applyAlignment="1">
      <alignment horizontal="left" vertical="center" wrapText="1"/>
    </xf>
    <xf numFmtId="0" fontId="85" fillId="0" borderId="22" xfId="0" applyFont="1" applyBorder="1" applyAlignment="1">
      <alignment horizontal="left" vertical="center" wrapText="1"/>
    </xf>
    <xf numFmtId="0" fontId="13" fillId="0" borderId="4" xfId="0" applyFont="1" applyBorder="1" applyAlignment="1">
      <alignment horizontal="left" vertical="center" wrapText="1"/>
    </xf>
    <xf numFmtId="0" fontId="22" fillId="5" borderId="22" xfId="0" applyFont="1" applyFill="1" applyBorder="1" applyAlignment="1">
      <alignment vertical="center"/>
    </xf>
    <xf numFmtId="0" fontId="22" fillId="5" borderId="1" xfId="0" applyFont="1" applyFill="1" applyBorder="1" applyAlignment="1">
      <alignment vertical="center"/>
    </xf>
    <xf numFmtId="0" fontId="85" fillId="0" borderId="23"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0" xfId="0" applyFont="1" applyAlignment="1">
      <alignment horizontal="center" vertical="center" wrapText="1"/>
    </xf>
    <xf numFmtId="0" fontId="85" fillId="0" borderId="25"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1" xfId="0" applyFont="1" applyBorder="1" applyAlignment="1">
      <alignment horizontal="center" vertical="center" wrapText="1"/>
    </xf>
    <xf numFmtId="0" fontId="85" fillId="0" borderId="24" xfId="0" applyFont="1" applyBorder="1" applyAlignment="1">
      <alignment horizontal="center" vertical="center" wrapText="1"/>
    </xf>
    <xf numFmtId="0" fontId="13" fillId="0" borderId="5"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83" fillId="0" borderId="0" xfId="0" applyFont="1" applyAlignment="1">
      <alignment vertical="center"/>
    </xf>
    <xf numFmtId="0" fontId="7" fillId="0" borderId="0" xfId="0" applyFont="1" applyAlignment="1">
      <alignment horizontal="center" vertical="center"/>
    </xf>
    <xf numFmtId="0" fontId="24" fillId="5" borderId="1" xfId="0" applyFont="1" applyFill="1" applyBorder="1" applyAlignment="1">
      <alignment horizontal="left" vertical="center" wrapText="1"/>
    </xf>
    <xf numFmtId="0" fontId="24" fillId="5" borderId="24" xfId="0" applyFont="1" applyFill="1" applyBorder="1" applyAlignment="1">
      <alignment horizontal="left" vertical="center" wrapText="1"/>
    </xf>
    <xf numFmtId="164" fontId="13" fillId="10" borderId="4" xfId="0" applyNumberFormat="1" applyFont="1" applyFill="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7" fillId="10" borderId="23" xfId="0" applyFont="1" applyFill="1" applyBorder="1" applyAlignment="1">
      <alignment horizontal="center" vertical="center"/>
    </xf>
    <xf numFmtId="0" fontId="7" fillId="10" borderId="22" xfId="0" applyFont="1" applyFill="1" applyBorder="1" applyAlignment="1">
      <alignment horizontal="center" vertical="center"/>
    </xf>
    <xf numFmtId="0" fontId="81" fillId="10" borderId="23" xfId="0" applyFont="1" applyFill="1" applyBorder="1" applyAlignment="1">
      <alignment horizontal="center" vertical="center" wrapText="1"/>
    </xf>
    <xf numFmtId="0" fontId="81" fillId="10" borderId="18" xfId="0" applyFont="1" applyFill="1" applyBorder="1" applyAlignment="1">
      <alignment horizontal="center" vertical="center" wrapText="1"/>
    </xf>
    <xf numFmtId="0" fontId="81" fillId="10" borderId="22" xfId="0" applyFont="1" applyFill="1" applyBorder="1" applyAlignment="1">
      <alignment horizontal="center" vertical="center" wrapText="1"/>
    </xf>
    <xf numFmtId="0" fontId="81" fillId="10" borderId="24" xfId="0" applyFont="1" applyFill="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24" fillId="5" borderId="18" xfId="0" applyFont="1" applyFill="1" applyBorder="1" applyAlignment="1">
      <alignment horizontal="left" vertical="center" wrapText="1"/>
    </xf>
    <xf numFmtId="0" fontId="31" fillId="3" borderId="18" xfId="0" applyFont="1" applyFill="1" applyBorder="1" applyAlignment="1">
      <alignment horizontal="center" vertical="center"/>
    </xf>
    <xf numFmtId="0" fontId="96" fillId="0" borderId="0" xfId="0" applyFont="1" applyAlignment="1">
      <alignment horizontal="center" vertical="center"/>
    </xf>
    <xf numFmtId="0" fontId="126" fillId="0" borderId="0" xfId="0" applyFont="1" applyAlignment="1">
      <alignment horizontal="left" vertical="center" wrapText="1"/>
    </xf>
  </cellXfs>
  <cellStyles count="4">
    <cellStyle name="Lien hypertexte" xfId="1" builtinId="8"/>
    <cellStyle name="Monétaire" xfId="3" builtinId="4"/>
    <cellStyle name="Normal" xfId="0" builtinId="0"/>
    <cellStyle name="Pourcentage" xfId="2" builtinId="5"/>
  </cellStyles>
  <dxfs count="122">
    <dxf>
      <font>
        <color theme="4" tint="-0.499984740745262"/>
      </font>
      <fill>
        <patternFill>
          <bgColor rgb="FFFFFFCC"/>
        </patternFill>
      </fill>
      <border>
        <left style="thin">
          <color auto="1"/>
        </left>
        <right/>
        <top style="thin">
          <color auto="1"/>
        </top>
        <bottom style="thin">
          <color auto="1"/>
        </bottom>
        <vertical/>
        <horizontal/>
      </border>
    </dxf>
    <dxf>
      <font>
        <color theme="4" tint="-0.499984740745262"/>
      </font>
      <fill>
        <patternFill>
          <bgColor rgb="FFFFFFCC"/>
        </patternFill>
      </fill>
      <border>
        <left style="thin">
          <color auto="1"/>
        </left>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font>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border>
        <bottom style="hair">
          <color auto="1"/>
        </bottom>
        <vertical/>
        <horizontal/>
      </border>
    </dxf>
    <dxf>
      <border>
        <bottom style="hair">
          <color auto="1"/>
        </bottom>
        <vertical/>
        <horizontal/>
      </border>
    </dxf>
    <dxf>
      <fill>
        <patternFill>
          <bgColor rgb="FFFFFF00"/>
        </patternFill>
      </fill>
    </dxf>
    <dxf>
      <border>
        <bottom style="hair">
          <color auto="1"/>
        </bottom>
        <vertical/>
        <horizontal/>
      </border>
    </dxf>
    <dxf>
      <fill>
        <patternFill>
          <bgColor rgb="FFE1F7FF"/>
        </patternFill>
      </fill>
    </dxf>
    <dxf>
      <fill>
        <patternFill>
          <bgColor rgb="FFE1F7FF"/>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dxf>
    <dxf>
      <fill>
        <patternFill>
          <bgColor rgb="FFE1F7FF"/>
        </patternFill>
      </fill>
      <border>
        <left style="thin">
          <color auto="1"/>
        </left>
        <right style="thin">
          <color auto="1"/>
        </right>
        <top style="thin">
          <color auto="1"/>
        </top>
        <bottom style="thin">
          <color auto="1"/>
        </bottom>
        <vertical/>
        <horizontal/>
      </border>
    </dxf>
    <dxf>
      <fill>
        <patternFill>
          <bgColor rgb="FFE1F7FF"/>
        </patternFill>
      </fill>
      <border>
        <left style="thin">
          <color auto="1"/>
        </left>
        <right style="thin">
          <color auto="1"/>
        </right>
        <top style="thin">
          <color auto="1"/>
        </top>
        <bottom style="thin">
          <color auto="1"/>
        </bottom>
        <vertical/>
        <horizontal/>
      </border>
    </dxf>
    <dxf>
      <fill>
        <patternFill>
          <bgColor rgb="FFE1F7FF"/>
        </patternFill>
      </fill>
      <border>
        <left style="thin">
          <color auto="1"/>
        </left>
        <right style="thin">
          <color auto="1"/>
        </right>
        <top style="thin">
          <color auto="1"/>
        </top>
        <bottom style="thin">
          <color auto="1"/>
        </bottom>
        <vertical/>
        <horizontal/>
      </border>
    </dxf>
    <dxf>
      <font>
        <color theme="0"/>
      </font>
      <fill>
        <patternFill>
          <bgColor theme="4" tint="-0.499984740745262"/>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DAEFC3"/>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1F7FF"/>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1F7FF"/>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1F7FF"/>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border>
        <bottom style="hair">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b/>
        <i/>
        <color rgb="FFC00000"/>
      </font>
    </dxf>
    <dxf>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b/>
        <i/>
      </font>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border>
    </dxf>
    <dxf>
      <font>
        <b/>
        <i val="0"/>
        <color theme="0"/>
      </font>
      <fill>
        <patternFill>
          <bgColor theme="1" tint="0.34998626667073579"/>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4" tint="-0.499984740745262"/>
        </patternFill>
      </fill>
      <border>
        <left/>
        <right/>
        <top/>
        <bottom/>
        <vertical/>
        <horizontal/>
      </border>
    </dxf>
    <dxf>
      <fill>
        <patternFill>
          <bgColor rgb="FFFFFF00"/>
        </patternFill>
      </fill>
      <border>
        <left style="thin">
          <color auto="1"/>
        </left>
        <right style="thin">
          <color auto="1"/>
        </right>
        <top style="thin">
          <color auto="1"/>
        </top>
        <bottom style="thin">
          <color auto="1"/>
        </bottom>
        <vertical/>
        <horizontal/>
      </border>
    </dxf>
    <dxf>
      <alignment horizontal="center"/>
    </dxf>
  </dxfs>
  <tableStyles count="0" defaultTableStyle="TableStyleMedium2" defaultPivotStyle="PivotStyleLight16"/>
  <colors>
    <mruColors>
      <color rgb="FFE1F7FF"/>
      <color rgb="FFFFFF00"/>
      <color rgb="FFE3E9F5"/>
      <color rgb="FF8FE2FF"/>
      <color rgb="FFFFFFCC"/>
      <color rgb="FFCCECFF"/>
      <color rgb="FFB3E6FF"/>
      <color rgb="FFDAEFC3"/>
      <color rgb="FFFFBFAB"/>
      <color rgb="FFF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184149" y="63500"/>
          <a:ext cx="1669967" cy="88265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11</xdr:col>
          <xdr:colOff>520700</xdr:colOff>
          <xdr:row>275</xdr:row>
          <xdr:rowOff>38100</xdr:rowOff>
        </xdr:from>
        <xdr:to>
          <xdr:col>11</xdr:col>
          <xdr:colOff>914400</xdr:colOff>
          <xdr:row>276</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39161</xdr:colOff>
      <xdr:row>245</xdr:row>
      <xdr:rowOff>17991</xdr:rowOff>
    </xdr:from>
    <xdr:to>
      <xdr:col>7</xdr:col>
      <xdr:colOff>1867961</xdr:colOff>
      <xdr:row>246</xdr:row>
      <xdr:rowOff>2542</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6050494" y="75000908"/>
          <a:ext cx="2992967" cy="5243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1060450</xdr:colOff>
          <xdr:row>272</xdr:row>
          <xdr:rowOff>31750</xdr:rowOff>
        </xdr:from>
        <xdr:to>
          <xdr:col>5</xdr:col>
          <xdr:colOff>1257300</xdr:colOff>
          <xdr:row>272</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15875">
              <a:solidFill>
                <a:srgbClr val="DD0806"/>
              </a:solidFill>
              <a:miter lim="800000"/>
              <a:headEnd/>
              <a:tailEnd/>
            </a:ln>
            <a:extLst>
              <a:ext uri="{909E8E84-426E-40DD-AFC4-6F175D3DCCD1}">
                <a14:hiddenFill>
                  <a:solidFill>
                    <a:srgbClr val="DD0806"/>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1054100</xdr:colOff>
          <xdr:row>273</xdr:row>
          <xdr:rowOff>50800</xdr:rowOff>
        </xdr:from>
        <xdr:to>
          <xdr:col>5</xdr:col>
          <xdr:colOff>1247775</xdr:colOff>
          <xdr:row>273</xdr:row>
          <xdr:rowOff>295275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15875">
              <a:solidFill>
                <a:srgbClr val="DD0806"/>
              </a:solidFill>
              <a:miter lim="800000"/>
              <a:headEnd/>
              <a:tailEnd/>
            </a:ln>
            <a:extLst>
              <a:ext uri="{909E8E84-426E-40DD-AFC4-6F175D3DCCD1}">
                <a14:hiddenFill>
                  <a:solidFill>
                    <a:srgbClr val="DD0806"/>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1060450</xdr:colOff>
          <xdr:row>271</xdr:row>
          <xdr:rowOff>38100</xdr:rowOff>
        </xdr:from>
        <xdr:to>
          <xdr:col>5</xdr:col>
          <xdr:colOff>1266825</xdr:colOff>
          <xdr:row>271</xdr:row>
          <xdr:rowOff>295275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15875">
              <a:solidFill>
                <a:srgbClr val="DD0806"/>
              </a:solidFill>
              <a:miter lim="800000"/>
              <a:headEnd/>
              <a:tailEnd/>
            </a:ln>
            <a:extLst>
              <a:ext uri="{909E8E84-426E-40DD-AFC4-6F175D3DCCD1}">
                <a14:hiddenFill>
                  <a:solidFill>
                    <a:srgbClr val="DD0806"/>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1060450</xdr:colOff>
          <xdr:row>270</xdr:row>
          <xdr:rowOff>63500</xdr:rowOff>
        </xdr:from>
        <xdr:to>
          <xdr:col>5</xdr:col>
          <xdr:colOff>1266825</xdr:colOff>
          <xdr:row>270</xdr:row>
          <xdr:rowOff>295275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15875">
              <a:solidFill>
                <a:srgbClr val="DD0806"/>
              </a:solidFill>
              <a:miter lim="800000"/>
              <a:headEnd/>
              <a:tailEnd/>
            </a:ln>
            <a:extLst>
              <a:ext uri="{909E8E84-426E-40DD-AFC4-6F175D3DCCD1}">
                <a14:hiddenFill>
                  <a:solidFill>
                    <a:srgbClr val="DD0806"/>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1054100</xdr:colOff>
          <xdr:row>269</xdr:row>
          <xdr:rowOff>69850</xdr:rowOff>
        </xdr:from>
        <xdr:to>
          <xdr:col>5</xdr:col>
          <xdr:colOff>1266825</xdr:colOff>
          <xdr:row>269</xdr:row>
          <xdr:rowOff>295275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15875">
              <a:solidFill>
                <a:srgbClr val="DD0806"/>
              </a:solidFill>
              <a:miter lim="800000"/>
              <a:headEnd/>
              <a:tailEnd/>
            </a:ln>
            <a:extLst>
              <a:ext uri="{909E8E84-426E-40DD-AFC4-6F175D3DCCD1}">
                <a14:hiddenFill>
                  <a:solidFill>
                    <a:srgbClr val="DD0806"/>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80974" y="66675"/>
          <a:ext cx="1669967" cy="8826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8</xdr:col>
      <xdr:colOff>654714</xdr:colOff>
      <xdr:row>0</xdr:row>
      <xdr:rowOff>57150</xdr:rowOff>
    </xdr:from>
    <xdr:to>
      <xdr:col>11</xdr:col>
      <xdr:colOff>221883</xdr:colOff>
      <xdr:row>16</xdr:row>
      <xdr:rowOff>53975</xdr:rowOff>
    </xdr:to>
    <xdr:pic>
      <xdr:nvPicPr>
        <xdr:cNvPr id="3" name="Imag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7807989" y="57150"/>
          <a:ext cx="1853169" cy="3311525"/>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53975</xdr:colOff>
      <xdr:row>0</xdr:row>
      <xdr:rowOff>152400</xdr:rowOff>
    </xdr:from>
    <xdr:ext cx="1669967" cy="882650"/>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49250" y="152400"/>
          <a:ext cx="1669967" cy="882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133350</xdr:colOff>
      <xdr:row>0</xdr:row>
      <xdr:rowOff>66675</xdr:rowOff>
    </xdr:from>
    <xdr:ext cx="1669967" cy="882650"/>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28625" y="66675"/>
          <a:ext cx="1669967" cy="882650"/>
        </a:xfrm>
        <a:prstGeom prst="rect">
          <a:avLst/>
        </a:prstGeom>
      </xdr:spPr>
    </xdr:pic>
    <xdr:clientData/>
  </xdr:oneCellAnchor>
  <xdr:oneCellAnchor>
    <xdr:from>
      <xdr:col>2</xdr:col>
      <xdr:colOff>133350</xdr:colOff>
      <xdr:row>0</xdr:row>
      <xdr:rowOff>66675</xdr:rowOff>
    </xdr:from>
    <xdr:ext cx="1669967" cy="88265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4765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47650" y="63500"/>
          <a:ext cx="1669967" cy="8826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133350</xdr:colOff>
      <xdr:row>0</xdr:row>
      <xdr:rowOff>66675</xdr:rowOff>
    </xdr:from>
    <xdr:ext cx="1669967" cy="882650"/>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114300</xdr:colOff>
      <xdr:row>0</xdr:row>
      <xdr:rowOff>200025</xdr:rowOff>
    </xdr:from>
    <xdr:ext cx="1669967" cy="882650"/>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0050" y="200025"/>
          <a:ext cx="1669967" cy="8826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400050</xdr:colOff>
      <xdr:row>0</xdr:row>
      <xdr:rowOff>123825</xdr:rowOff>
    </xdr:from>
    <xdr:ext cx="1669967" cy="882650"/>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00050" y="123825"/>
          <a:ext cx="1669967" cy="8826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92075</xdr:colOff>
      <xdr:row>0</xdr:row>
      <xdr:rowOff>133350</xdr:rowOff>
    </xdr:from>
    <xdr:ext cx="1669967" cy="882650"/>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77825" y="133350"/>
          <a:ext cx="1669967" cy="8826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133350</xdr:colOff>
      <xdr:row>0</xdr:row>
      <xdr:rowOff>66675</xdr:rowOff>
    </xdr:from>
    <xdr:ext cx="1669967" cy="882650"/>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419100" y="63500"/>
          <a:ext cx="1669967" cy="8826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xdr:col>
      <xdr:colOff>114300</xdr:colOff>
      <xdr:row>0</xdr:row>
      <xdr:rowOff>200025</xdr:rowOff>
    </xdr:from>
    <xdr:ext cx="1669967" cy="882650"/>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00050" y="196850"/>
          <a:ext cx="1669967" cy="882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FAI\Sodexport\00%20Sharepoint\R&#233;vision_Documents_Programmes_2022\Documents_a_R&#233;viser\Musique\Documents_Version_R&#233;vis&#233;e_2022\Fichier%20de%20travail\int-formulaire-demande-tournee-volet2.2_Fichier_Travail_MV.xlsx" TargetMode="External"/><Relationship Id="rId1" Type="http://schemas.openxmlformats.org/officeDocument/2006/relationships/externalLinkPath" Target="file:///S:\FAI\Sodexport\00%20Sharepoint\R&#233;vision_Documents_Programmes_2022\Documents_a_R&#233;viser\Musique\Documents_Version_R&#233;vis&#233;e_2022\Fichier%20de%20travail\int-formulaire-demande-tournee-volet2.2_Fichier_Travail_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ulaire"/>
      <sheetName val="Demande"/>
      <sheetName val="Recommandation"/>
      <sheetName val="Rapport"/>
      <sheetName val="Grille Calcul"/>
      <sheetName val="Fichier"/>
      <sheetName val="testMV1"/>
      <sheetName val="testMV2"/>
      <sheetName val="testMV3"/>
      <sheetName val="testMV4"/>
      <sheetName val="testMV5"/>
      <sheetName val="testMV6"/>
      <sheetName val="testMV7"/>
      <sheetName val="testMV8"/>
      <sheetName val="testMV9"/>
      <sheetName val="testMV10"/>
      <sheetName val="Notes"/>
    </sheetNames>
    <sheetDataSet>
      <sheetData sheetId="0" refreshError="1"/>
      <sheetData sheetId="1" refreshError="1"/>
      <sheetData sheetId="2" refreshError="1"/>
      <sheetData sheetId="3" refreshError="1"/>
      <sheetData sheetId="4" refreshError="1"/>
      <sheetData sheetId="5">
        <row r="112">
          <cell r="A112" t="str">
            <v>Alberta - Canada</v>
          </cell>
        </row>
        <row r="113">
          <cell r="A113" t="str">
            <v>Colombie-Britannique - Canada</v>
          </cell>
        </row>
        <row r="114">
          <cell r="A114" t="str">
            <v>Île-du-Prince-Édouard - Canada</v>
          </cell>
        </row>
        <row r="115">
          <cell r="A115" t="str">
            <v>Manitoba - Canada</v>
          </cell>
        </row>
        <row r="116">
          <cell r="A116" t="str">
            <v>Nouveau-Brunswick - Canada</v>
          </cell>
        </row>
        <row r="117">
          <cell r="A117" t="str">
            <v>Nouvelle-Écosse - Canada</v>
          </cell>
        </row>
        <row r="118">
          <cell r="A118" t="str">
            <v>Nunavut - Canada</v>
          </cell>
        </row>
        <row r="119">
          <cell r="A119" t="str">
            <v>Ontario - Canada</v>
          </cell>
        </row>
        <row r="120">
          <cell r="A120" t="str">
            <v>Saskatchewan - Canada</v>
          </cell>
        </row>
        <row r="121">
          <cell r="A121" t="str">
            <v>Terre-Neuve-et-Labrador - Canada</v>
          </cell>
        </row>
        <row r="122">
          <cell r="A122" t="str">
            <v>Territoires-du-Nord-Ouest - Canada</v>
          </cell>
        </row>
        <row r="123">
          <cell r="A123" t="str">
            <v>Yukon - Canada</v>
          </cell>
        </row>
        <row r="124">
          <cell r="A124" t="str">
            <v>AFGHANISTAN</v>
          </cell>
        </row>
        <row r="125">
          <cell r="A125" t="str">
            <v>AFRIQUE DU SUD</v>
          </cell>
        </row>
        <row r="126">
          <cell r="A126" t="str">
            <v>ÅLAND, ÎLES</v>
          </cell>
        </row>
        <row r="127">
          <cell r="A127" t="str">
            <v>ALBANIE</v>
          </cell>
        </row>
        <row r="128">
          <cell r="A128" t="str">
            <v>ALGÉRIE</v>
          </cell>
        </row>
        <row r="129">
          <cell r="A129" t="str">
            <v>ALLEMAGNE</v>
          </cell>
        </row>
        <row r="130">
          <cell r="A130" t="str">
            <v>ANDORRE</v>
          </cell>
        </row>
        <row r="131">
          <cell r="A131" t="str">
            <v>ANGLETERRE</v>
          </cell>
        </row>
        <row r="132">
          <cell r="A132" t="str">
            <v>ANGOLA</v>
          </cell>
        </row>
        <row r="133">
          <cell r="A133" t="str">
            <v>ANGUILLA</v>
          </cell>
        </row>
        <row r="134">
          <cell r="A134" t="str">
            <v>ANTARCTIQUE</v>
          </cell>
        </row>
        <row r="135">
          <cell r="A135" t="str">
            <v>ANTIGUA-ET-BARBUDA</v>
          </cell>
        </row>
        <row r="136">
          <cell r="A136" t="str">
            <v>ANTILLES NÉERLANDAISES</v>
          </cell>
        </row>
        <row r="137">
          <cell r="A137" t="str">
            <v>ARABIE SAOUDITE</v>
          </cell>
        </row>
        <row r="138">
          <cell r="A138" t="str">
            <v>ARGENTINE</v>
          </cell>
        </row>
        <row r="139">
          <cell r="A139" t="str">
            <v>ARMÉNIE</v>
          </cell>
        </row>
        <row r="140">
          <cell r="A140" t="str">
            <v>ARUBA</v>
          </cell>
        </row>
        <row r="141">
          <cell r="A141" t="str">
            <v>AUSTRALIE</v>
          </cell>
        </row>
        <row r="142">
          <cell r="A142" t="str">
            <v>AUTRICHE</v>
          </cell>
        </row>
        <row r="143">
          <cell r="A143" t="str">
            <v>AZERBAÏDJAN</v>
          </cell>
        </row>
        <row r="144">
          <cell r="A144" t="str">
            <v>BAHAMAS</v>
          </cell>
        </row>
        <row r="145">
          <cell r="A145" t="str">
            <v>BAHREÏN</v>
          </cell>
        </row>
        <row r="146">
          <cell r="A146" t="str">
            <v>BANGLADESH</v>
          </cell>
        </row>
        <row r="147">
          <cell r="A147" t="str">
            <v>BARBADE</v>
          </cell>
        </row>
        <row r="148">
          <cell r="A148" t="str">
            <v>BÉLARUS</v>
          </cell>
        </row>
        <row r="149">
          <cell r="A149" t="str">
            <v>BELGIQUE</v>
          </cell>
        </row>
        <row r="150">
          <cell r="A150" t="str">
            <v>BELIZE</v>
          </cell>
        </row>
        <row r="151">
          <cell r="A151" t="str">
            <v>BÉNIN</v>
          </cell>
        </row>
        <row r="152">
          <cell r="A152" t="str">
            <v>BERMUDES</v>
          </cell>
        </row>
        <row r="153">
          <cell r="A153" t="str">
            <v>BHOUTAN</v>
          </cell>
        </row>
        <row r="154">
          <cell r="A154" t="str">
            <v>BOLIVIE</v>
          </cell>
        </row>
        <row r="155">
          <cell r="A155" t="str">
            <v>BOSNIE-HERZÉGOVINE</v>
          </cell>
        </row>
        <row r="156">
          <cell r="A156" t="str">
            <v>BOTSWANA</v>
          </cell>
        </row>
        <row r="157">
          <cell r="A157" t="str">
            <v>BOUVET, ÎLE</v>
          </cell>
        </row>
        <row r="158">
          <cell r="A158" t="str">
            <v>BRÉSIL</v>
          </cell>
        </row>
        <row r="159">
          <cell r="A159" t="str">
            <v>BRUNÉI DARUSSALAM</v>
          </cell>
        </row>
        <row r="160">
          <cell r="A160" t="str">
            <v>BULGARIE</v>
          </cell>
        </row>
        <row r="161">
          <cell r="A161" t="str">
            <v>BURKINA FASO</v>
          </cell>
        </row>
        <row r="162">
          <cell r="A162" t="str">
            <v>BURUNDI</v>
          </cell>
        </row>
        <row r="163">
          <cell r="A163" t="str">
            <v>CAÏMANES, ÎLES</v>
          </cell>
        </row>
        <row r="164">
          <cell r="A164" t="str">
            <v>CAMBODGE</v>
          </cell>
        </row>
        <row r="165">
          <cell r="A165" t="str">
            <v>CAMEROUN</v>
          </cell>
        </row>
        <row r="166">
          <cell r="A166" t="str">
            <v>CAP-VERT</v>
          </cell>
        </row>
        <row r="167">
          <cell r="A167" t="str">
            <v>CENTRAFRICAINE, RÉPUBLIQUE</v>
          </cell>
        </row>
        <row r="168">
          <cell r="A168" t="str">
            <v>CHILI</v>
          </cell>
        </row>
        <row r="169">
          <cell r="A169" t="str">
            <v>CHINE</v>
          </cell>
        </row>
        <row r="170">
          <cell r="A170" t="str">
            <v>CHRISTMAS, ÎLE</v>
          </cell>
        </row>
        <row r="171">
          <cell r="A171" t="str">
            <v>CHYPRE</v>
          </cell>
        </row>
        <row r="172">
          <cell r="A172" t="str">
            <v>COCOS (KEELING), ÎLES</v>
          </cell>
        </row>
        <row r="173">
          <cell r="A173" t="str">
            <v>COLOMBIE</v>
          </cell>
        </row>
        <row r="174">
          <cell r="A174" t="str">
            <v>COMORES</v>
          </cell>
        </row>
        <row r="175">
          <cell r="A175" t="str">
            <v>CONGO</v>
          </cell>
        </row>
        <row r="176">
          <cell r="A176" t="str">
            <v>CONGO, LA RÉPUBLIQUE DÉMOCRATIQUE DU</v>
          </cell>
        </row>
        <row r="177">
          <cell r="A177" t="str">
            <v>COOK, ÎLES</v>
          </cell>
        </row>
        <row r="178">
          <cell r="A178" t="str">
            <v>CORÉE, RÉPUBLIQUE DE</v>
          </cell>
        </row>
        <row r="179">
          <cell r="A179" t="str">
            <v>CORÉE, RÉPUBLIQUE POPULAIRE DÉMOCRATIQUE DE</v>
          </cell>
        </row>
        <row r="180">
          <cell r="A180" t="str">
            <v>COSTA RICA</v>
          </cell>
        </row>
        <row r="181">
          <cell r="A181" t="str">
            <v>CÔTE D'IVOIRE</v>
          </cell>
        </row>
        <row r="182">
          <cell r="A182" t="str">
            <v>CROATIE</v>
          </cell>
        </row>
        <row r="183">
          <cell r="A183" t="str">
            <v>CUBA</v>
          </cell>
        </row>
        <row r="184">
          <cell r="A184" t="str">
            <v>DANEMARK</v>
          </cell>
        </row>
        <row r="185">
          <cell r="A185" t="str">
            <v>DJIBOUTI</v>
          </cell>
        </row>
        <row r="186">
          <cell r="A186" t="str">
            <v>DOMINICAINE, RÉPUBLIQUE</v>
          </cell>
        </row>
        <row r="187">
          <cell r="A187" t="str">
            <v>DOMINIQUE</v>
          </cell>
        </row>
        <row r="188">
          <cell r="A188" t="str">
            <v>ÉGYPTE</v>
          </cell>
        </row>
        <row r="189">
          <cell r="A189" t="str">
            <v>EL SALVADOR</v>
          </cell>
        </row>
        <row r="190">
          <cell r="A190" t="str">
            <v>ÉMIRATS ARABES UNIS</v>
          </cell>
        </row>
        <row r="191">
          <cell r="A191" t="str">
            <v>ÉQUATEUR</v>
          </cell>
        </row>
        <row r="192">
          <cell r="A192" t="str">
            <v>ÉRYTHRÉE</v>
          </cell>
        </row>
        <row r="193">
          <cell r="A193" t="str">
            <v>ESPAGNE</v>
          </cell>
        </row>
        <row r="194">
          <cell r="A194" t="str">
            <v>ESTONIE</v>
          </cell>
        </row>
        <row r="195">
          <cell r="A195" t="str">
            <v>ÉTATS-UNIS</v>
          </cell>
        </row>
        <row r="196">
          <cell r="A196" t="str">
            <v>ÉTHIOPIE</v>
          </cell>
        </row>
        <row r="197">
          <cell r="A197" t="str">
            <v>FALKLAND, ÎLES (MALVINAS)</v>
          </cell>
        </row>
        <row r="198">
          <cell r="A198" t="str">
            <v>FÉROÉ, ÎLES</v>
          </cell>
        </row>
        <row r="199">
          <cell r="A199" t="str">
            <v>FIDJI</v>
          </cell>
        </row>
        <row r="200">
          <cell r="A200" t="str">
            <v>FINLANDE</v>
          </cell>
        </row>
        <row r="201">
          <cell r="A201" t="str">
            <v>FRANCE</v>
          </cell>
        </row>
        <row r="202">
          <cell r="A202" t="str">
            <v>GABON</v>
          </cell>
        </row>
        <row r="203">
          <cell r="A203" t="str">
            <v>GAMBIE</v>
          </cell>
        </row>
        <row r="204">
          <cell r="A204" t="str">
            <v>GÉORGIE</v>
          </cell>
        </row>
        <row r="205">
          <cell r="A205" t="str">
            <v>GÉORGIE DU SUD ET LES ÎLES SANDWICH DU SUD</v>
          </cell>
        </row>
        <row r="206">
          <cell r="A206" t="str">
            <v>GHANA</v>
          </cell>
        </row>
        <row r="207">
          <cell r="A207" t="str">
            <v>GIBRALTAR</v>
          </cell>
        </row>
        <row r="208">
          <cell r="A208" t="str">
            <v>GRÈCE</v>
          </cell>
        </row>
        <row r="209">
          <cell r="A209" t="str">
            <v>GRENADE</v>
          </cell>
        </row>
        <row r="210">
          <cell r="A210" t="str">
            <v>GROENLAND</v>
          </cell>
        </row>
        <row r="211">
          <cell r="A211" t="str">
            <v>GUADELOUPE</v>
          </cell>
        </row>
        <row r="212">
          <cell r="A212" t="str">
            <v>GUAM</v>
          </cell>
        </row>
        <row r="213">
          <cell r="A213" t="str">
            <v>GUATEMALA</v>
          </cell>
        </row>
        <row r="214">
          <cell r="A214" t="str">
            <v>GUERNESEY</v>
          </cell>
        </row>
        <row r="215">
          <cell r="A215" t="str">
            <v>GUINÉE</v>
          </cell>
        </row>
        <row r="216">
          <cell r="A216" t="str">
            <v>GUINÉE ÉQUATORIALE</v>
          </cell>
        </row>
        <row r="217">
          <cell r="A217" t="str">
            <v>GUINÉE-BISSAU</v>
          </cell>
        </row>
        <row r="218">
          <cell r="A218" t="str">
            <v>GUYANA</v>
          </cell>
        </row>
        <row r="219">
          <cell r="A219" t="str">
            <v>GUYANE FRANÇAISE</v>
          </cell>
        </row>
        <row r="220">
          <cell r="A220" t="str">
            <v>HAÏTI</v>
          </cell>
        </row>
        <row r="221">
          <cell r="A221" t="str">
            <v>HEARD, ÎLE ET MCDONALD, ÎLES</v>
          </cell>
        </row>
        <row r="222">
          <cell r="A222" t="str">
            <v>HONDURAS</v>
          </cell>
        </row>
        <row r="223">
          <cell r="A223" t="str">
            <v>HONG-KONG</v>
          </cell>
        </row>
        <row r="224">
          <cell r="A224" t="str">
            <v>HONGRIE</v>
          </cell>
        </row>
        <row r="225">
          <cell r="A225" t="str">
            <v>ÎLE DE MAN</v>
          </cell>
        </row>
        <row r="226">
          <cell r="A226" t="str">
            <v>ÎLES MINEURES ÉLOIGNÉES DES ÉTATS-UNIS</v>
          </cell>
        </row>
        <row r="227">
          <cell r="A227" t="str">
            <v>ÎLES VIERGES BRITANNIQUES</v>
          </cell>
        </row>
        <row r="228">
          <cell r="A228" t="str">
            <v>ÎLES VIERGES DES ÉTATS-UNIS</v>
          </cell>
        </row>
        <row r="229">
          <cell r="A229" t="str">
            <v>INDE</v>
          </cell>
        </row>
        <row r="230">
          <cell r="A230" t="str">
            <v>INDONÉSIE</v>
          </cell>
        </row>
        <row r="231">
          <cell r="A231" t="str">
            <v>IRAN, RÉPUBLIQUE ISLAMIQUE D'</v>
          </cell>
        </row>
        <row r="232">
          <cell r="A232" t="str">
            <v>IRAQ</v>
          </cell>
        </row>
        <row r="233">
          <cell r="A233" t="str">
            <v>IRLANDE</v>
          </cell>
        </row>
        <row r="234">
          <cell r="A234" t="str">
            <v>ISLANDE</v>
          </cell>
        </row>
        <row r="235">
          <cell r="A235" t="str">
            <v>ISRAËL</v>
          </cell>
        </row>
        <row r="236">
          <cell r="A236" t="str">
            <v>ITALIE</v>
          </cell>
        </row>
        <row r="237">
          <cell r="A237" t="str">
            <v>JAMAÏQUE</v>
          </cell>
        </row>
        <row r="238">
          <cell r="A238" t="str">
            <v>JAPON</v>
          </cell>
        </row>
        <row r="239">
          <cell r="A239" t="str">
            <v>JERSEY</v>
          </cell>
        </row>
        <row r="240">
          <cell r="A240" t="str">
            <v>JORDANIE</v>
          </cell>
        </row>
        <row r="241">
          <cell r="A241" t="str">
            <v>KAZAKHSTAN</v>
          </cell>
        </row>
        <row r="242">
          <cell r="A242" t="str">
            <v>KENYA</v>
          </cell>
        </row>
        <row r="243">
          <cell r="A243" t="str">
            <v>KIRGHIZISTAN</v>
          </cell>
        </row>
        <row r="244">
          <cell r="A244" t="str">
            <v>KIRIBATI</v>
          </cell>
        </row>
        <row r="245">
          <cell r="A245" t="str">
            <v>KOWEÏT</v>
          </cell>
        </row>
        <row r="246">
          <cell r="A246" t="str">
            <v>LAO, RÉPUBLIQUE DÉMOCRATIQUE POPULAIRE</v>
          </cell>
        </row>
        <row r="247">
          <cell r="A247" t="str">
            <v>LESOTHO</v>
          </cell>
        </row>
        <row r="248">
          <cell r="A248" t="str">
            <v>LETTONIE</v>
          </cell>
        </row>
        <row r="249">
          <cell r="A249" t="str">
            <v>LIBAN</v>
          </cell>
        </row>
        <row r="250">
          <cell r="A250" t="str">
            <v>LIBÉRIA</v>
          </cell>
        </row>
        <row r="251">
          <cell r="A251" t="str">
            <v>LIBYENNE, JAMAHIRIYA ARABE</v>
          </cell>
        </row>
        <row r="252">
          <cell r="A252" t="str">
            <v>LIECHTENSTEIN</v>
          </cell>
        </row>
        <row r="253">
          <cell r="A253" t="str">
            <v>LITUANIE</v>
          </cell>
        </row>
        <row r="254">
          <cell r="A254" t="str">
            <v>LUXEMBOURG</v>
          </cell>
        </row>
        <row r="255">
          <cell r="A255" t="str">
            <v>MACAO</v>
          </cell>
        </row>
        <row r="256">
          <cell r="A256" t="str">
            <v>MACÉDOINE, L'EX-RÉPUBLIQUE YOUGOSLAVE DE</v>
          </cell>
        </row>
        <row r="257">
          <cell r="A257" t="str">
            <v>MADAGASCAR</v>
          </cell>
        </row>
        <row r="258">
          <cell r="A258" t="str">
            <v>MALAISIE</v>
          </cell>
        </row>
        <row r="259">
          <cell r="A259" t="str">
            <v>MALAWI</v>
          </cell>
        </row>
        <row r="260">
          <cell r="A260" t="str">
            <v>MALDIVES</v>
          </cell>
        </row>
        <row r="261">
          <cell r="A261" t="str">
            <v>MALI</v>
          </cell>
        </row>
        <row r="262">
          <cell r="A262" t="str">
            <v>MALTE</v>
          </cell>
        </row>
        <row r="263">
          <cell r="A263" t="str">
            <v>MARIANNES DU NORD, ÎLES</v>
          </cell>
        </row>
        <row r="264">
          <cell r="A264" t="str">
            <v>MAROC</v>
          </cell>
        </row>
        <row r="265">
          <cell r="A265" t="str">
            <v>MARSHALL, ÎLES</v>
          </cell>
        </row>
        <row r="266">
          <cell r="A266" t="str">
            <v>MARTINIQUE</v>
          </cell>
        </row>
        <row r="267">
          <cell r="A267" t="str">
            <v>MAURICE</v>
          </cell>
        </row>
        <row r="268">
          <cell r="A268" t="str">
            <v>MAURITANIE</v>
          </cell>
        </row>
        <row r="269">
          <cell r="A269" t="str">
            <v>MAYOTTE</v>
          </cell>
        </row>
        <row r="270">
          <cell r="A270" t="str">
            <v>MEXIQUE</v>
          </cell>
        </row>
        <row r="271">
          <cell r="A271" t="str">
            <v>MICRONÉSIE, ÉTATS FÉDÉRÉS DE</v>
          </cell>
        </row>
        <row r="272">
          <cell r="A272" t="str">
            <v>MOLDOVA, RÉPUBLIQUE DE</v>
          </cell>
        </row>
        <row r="273">
          <cell r="A273" t="str">
            <v>MONACO</v>
          </cell>
        </row>
        <row r="274">
          <cell r="A274" t="str">
            <v>MONGOLIE</v>
          </cell>
        </row>
        <row r="275">
          <cell r="A275" t="str">
            <v>MONTÉNÉGRO</v>
          </cell>
        </row>
        <row r="276">
          <cell r="A276" t="str">
            <v>MONTSERRAT</v>
          </cell>
        </row>
        <row r="277">
          <cell r="A277" t="str">
            <v>MOZAMBIQUE</v>
          </cell>
        </row>
        <row r="278">
          <cell r="A278" t="str">
            <v>MYANMAR</v>
          </cell>
        </row>
        <row r="279">
          <cell r="A279" t="str">
            <v>NAMIBIE</v>
          </cell>
        </row>
        <row r="280">
          <cell r="A280" t="str">
            <v>NAURU</v>
          </cell>
        </row>
        <row r="281">
          <cell r="A281" t="str">
            <v>NÉPAL</v>
          </cell>
        </row>
        <row r="282">
          <cell r="A282" t="str">
            <v>NICARAGUA</v>
          </cell>
        </row>
        <row r="283">
          <cell r="A283" t="str">
            <v>NIGER</v>
          </cell>
        </row>
        <row r="284">
          <cell r="A284" t="str">
            <v>NIGÉRIA</v>
          </cell>
        </row>
        <row r="285">
          <cell r="A285" t="str">
            <v>NIUÉ</v>
          </cell>
        </row>
        <row r="286">
          <cell r="A286" t="str">
            <v>NORFOLK, ÎLE</v>
          </cell>
        </row>
        <row r="287">
          <cell r="A287" t="str">
            <v>NORVÈGE</v>
          </cell>
        </row>
        <row r="288">
          <cell r="A288" t="str">
            <v>NOUVELLE-CALÉDONIE</v>
          </cell>
        </row>
        <row r="289">
          <cell r="A289" t="str">
            <v>NOUVELLE-ZÉLANDE</v>
          </cell>
        </row>
        <row r="290">
          <cell r="A290" t="str">
            <v>OCÉAN INDIEN, TERRITOIRE BRITANNIQUE DE L'</v>
          </cell>
        </row>
        <row r="291">
          <cell r="A291" t="str">
            <v>OMAN</v>
          </cell>
        </row>
        <row r="292">
          <cell r="A292" t="str">
            <v>OUGANDA</v>
          </cell>
        </row>
        <row r="293">
          <cell r="A293" t="str">
            <v>OUZBÉKISTAN</v>
          </cell>
        </row>
        <row r="294">
          <cell r="A294" t="str">
            <v>PAKISTAN</v>
          </cell>
        </row>
        <row r="295">
          <cell r="A295" t="str">
            <v>PALAOS</v>
          </cell>
        </row>
        <row r="296">
          <cell r="A296" t="str">
            <v>PALESTINIEN OCCUPÉ, TERRITOIRE</v>
          </cell>
        </row>
        <row r="297">
          <cell r="A297" t="str">
            <v>PANAMA</v>
          </cell>
        </row>
        <row r="298">
          <cell r="A298" t="str">
            <v>PAPOUASIE-NOUVELLE-GUINÉE</v>
          </cell>
        </row>
        <row r="299">
          <cell r="A299" t="str">
            <v>PARAGUAY</v>
          </cell>
        </row>
        <row r="300">
          <cell r="A300" t="str">
            <v>PAYS-BAS</v>
          </cell>
        </row>
        <row r="301">
          <cell r="A301" t="str">
            <v>PÉROU</v>
          </cell>
        </row>
        <row r="302">
          <cell r="A302" t="str">
            <v>PHILIPPINES</v>
          </cell>
        </row>
        <row r="303">
          <cell r="A303" t="str">
            <v>PITCAIRN</v>
          </cell>
        </row>
        <row r="304">
          <cell r="A304" t="str">
            <v>POLOGNE</v>
          </cell>
        </row>
        <row r="305">
          <cell r="A305" t="str">
            <v>POLYNÉSIE FRANÇAISE</v>
          </cell>
        </row>
        <row r="306">
          <cell r="A306" t="str">
            <v>PORTO RICO</v>
          </cell>
        </row>
        <row r="307">
          <cell r="A307" t="str">
            <v>PORTUGAL</v>
          </cell>
        </row>
        <row r="308">
          <cell r="A308" t="str">
            <v>QATAR</v>
          </cell>
        </row>
        <row r="309">
          <cell r="A309" t="str">
            <v>RÉUNION</v>
          </cell>
        </row>
        <row r="310">
          <cell r="A310" t="str">
            <v>ROUMANIE</v>
          </cell>
        </row>
        <row r="311">
          <cell r="A311" t="str">
            <v>ROYAUME-UNI</v>
          </cell>
        </row>
        <row r="312">
          <cell r="A312" t="str">
            <v>RUSSIE, FÉDÉRATION DE</v>
          </cell>
        </row>
        <row r="313">
          <cell r="A313" t="str">
            <v>RWANDA</v>
          </cell>
        </row>
        <row r="314">
          <cell r="A314" t="str">
            <v>SAHARA OCCIDENTAL</v>
          </cell>
        </row>
        <row r="315">
          <cell r="A315" t="str">
            <v>SAINT-BARTHÉLEMY</v>
          </cell>
        </row>
        <row r="316">
          <cell r="A316" t="str">
            <v>SAINTE-HÉLÈNE</v>
          </cell>
        </row>
        <row r="317">
          <cell r="A317" t="str">
            <v>SAINTE-LUCIE</v>
          </cell>
        </row>
        <row r="318">
          <cell r="A318" t="str">
            <v>SAINT-KITTS-ET-NEVIS</v>
          </cell>
        </row>
        <row r="319">
          <cell r="A319" t="str">
            <v>SAINT-MARIN</v>
          </cell>
        </row>
        <row r="320">
          <cell r="A320" t="str">
            <v>SAINT-MARTIN</v>
          </cell>
        </row>
        <row r="321">
          <cell r="A321" t="str">
            <v>SAINT-PIERRE-ET-MIQUELON</v>
          </cell>
        </row>
        <row r="322">
          <cell r="A322" t="str">
            <v>SAINT-SIÈGE (ÉTAT DE LA CITÉ DU VATICAN)</v>
          </cell>
        </row>
        <row r="323">
          <cell r="A323" t="str">
            <v>SAINT-VINCENT-ET-LES GRENADINES</v>
          </cell>
        </row>
        <row r="324">
          <cell r="A324" t="str">
            <v>SALOMON, ÎLES</v>
          </cell>
        </row>
        <row r="325">
          <cell r="A325" t="str">
            <v>SAMOA</v>
          </cell>
        </row>
        <row r="326">
          <cell r="A326" t="str">
            <v>SAMOA AMÉRICAINES</v>
          </cell>
        </row>
        <row r="327">
          <cell r="A327" t="str">
            <v>SAO TOMÉ-ET-PRINCIPE</v>
          </cell>
        </row>
        <row r="328">
          <cell r="A328" t="str">
            <v>SÉNÉGAL</v>
          </cell>
        </row>
        <row r="329">
          <cell r="A329" t="str">
            <v>SERBIE</v>
          </cell>
        </row>
        <row r="330">
          <cell r="A330" t="str">
            <v>SEYCHELLES</v>
          </cell>
        </row>
        <row r="331">
          <cell r="A331" t="str">
            <v>SIERRA LEONE</v>
          </cell>
        </row>
        <row r="332">
          <cell r="A332" t="str">
            <v>SINGAPOUR</v>
          </cell>
        </row>
        <row r="333">
          <cell r="A333" t="str">
            <v>SLOVAQUIE</v>
          </cell>
        </row>
        <row r="334">
          <cell r="A334" t="str">
            <v>SLOVÉNIE</v>
          </cell>
        </row>
        <row r="335">
          <cell r="A335" t="str">
            <v>SOMALIE</v>
          </cell>
        </row>
        <row r="336">
          <cell r="A336" t="str">
            <v>SOUDAN</v>
          </cell>
        </row>
        <row r="337">
          <cell r="A337" t="str">
            <v>SRI LANKA</v>
          </cell>
        </row>
        <row r="338">
          <cell r="A338" t="str">
            <v>SUÈDE</v>
          </cell>
        </row>
        <row r="339">
          <cell r="A339" t="str">
            <v>SUISSE</v>
          </cell>
        </row>
        <row r="340">
          <cell r="A340" t="str">
            <v>SURINAME</v>
          </cell>
        </row>
        <row r="341">
          <cell r="A341" t="str">
            <v>SVALBARD ET ÎLE JAN MAYEN</v>
          </cell>
        </row>
        <row r="342">
          <cell r="A342" t="str">
            <v>SWAZILAND</v>
          </cell>
        </row>
        <row r="343">
          <cell r="A343" t="str">
            <v>SYRIENNE, RÉPUBLIQUE ARABE</v>
          </cell>
        </row>
        <row r="344">
          <cell r="A344" t="str">
            <v>TADJIKISTAN</v>
          </cell>
        </row>
        <row r="345">
          <cell r="A345" t="str">
            <v>TAÏWAN, PROVINCE DE CHINE</v>
          </cell>
        </row>
        <row r="346">
          <cell r="A346" t="str">
            <v>TANZANIE, RÉPUBLIQUE-UNIE DE</v>
          </cell>
        </row>
        <row r="347">
          <cell r="A347" t="str">
            <v>TCHAD</v>
          </cell>
        </row>
        <row r="348">
          <cell r="A348" t="str">
            <v>TCHÈQUE, RÉPUBLIQUE</v>
          </cell>
        </row>
        <row r="349">
          <cell r="A349" t="str">
            <v>TERRES AUSTRALES FRANÇAISES</v>
          </cell>
        </row>
        <row r="350">
          <cell r="A350" t="str">
            <v>THAÏLANDE</v>
          </cell>
        </row>
        <row r="351">
          <cell r="A351" t="str">
            <v>TIMOR-LESTE</v>
          </cell>
        </row>
        <row r="352">
          <cell r="A352" t="str">
            <v>TOGO</v>
          </cell>
        </row>
        <row r="353">
          <cell r="A353" t="str">
            <v>TOKELAU</v>
          </cell>
        </row>
        <row r="354">
          <cell r="A354" t="str">
            <v>TONGA</v>
          </cell>
        </row>
        <row r="355">
          <cell r="A355" t="str">
            <v>TRINITÉ-ET-TOBAGO</v>
          </cell>
        </row>
        <row r="356">
          <cell r="A356" t="str">
            <v>TUNISIE</v>
          </cell>
        </row>
        <row r="357">
          <cell r="A357" t="str">
            <v>TURKMÉNISTAN</v>
          </cell>
        </row>
        <row r="358">
          <cell r="A358" t="str">
            <v>TURKS ET CAÏQUES, ÎLES</v>
          </cell>
        </row>
        <row r="359">
          <cell r="A359" t="str">
            <v>TURQUIE</v>
          </cell>
        </row>
        <row r="360">
          <cell r="A360" t="str">
            <v>TUVALU</v>
          </cell>
        </row>
        <row r="361">
          <cell r="A361" t="str">
            <v>UKRAINE</v>
          </cell>
        </row>
        <row r="362">
          <cell r="A362" t="str">
            <v>URUGUAY</v>
          </cell>
        </row>
        <row r="363">
          <cell r="A363" t="str">
            <v>VANUATU</v>
          </cell>
        </row>
        <row r="364">
          <cell r="A364" t="str">
            <v>VENEZUELA, RÉPUBLIQUE BOLIVARIENNE DU</v>
          </cell>
        </row>
        <row r="365">
          <cell r="A365" t="str">
            <v>VIET NAM</v>
          </cell>
        </row>
        <row r="366">
          <cell r="A366" t="str">
            <v>WALLIS ET FUTUNA</v>
          </cell>
        </row>
        <row r="367">
          <cell r="A367" t="str">
            <v>YÉMEN</v>
          </cell>
        </row>
        <row r="368">
          <cell r="A368" t="str">
            <v>ZAMBIE</v>
          </cell>
        </row>
        <row r="369">
          <cell r="A369" t="str">
            <v>ZIMBABWE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ger, Marlène" refreshedDate="45048.383614120372" createdVersion="8" refreshedVersion="8" minRefreshableVersion="3" recordCount="50" xr:uid="{1B05F676-1D62-45FD-8272-6E1AA3C839E5}">
  <cacheSource type="worksheet">
    <worksheetSource ref="D21:L71" sheet="DEMANDE_Calendrier_Tournée"/>
  </cacheSource>
  <cacheFields count="9">
    <cacheField name="Date _x000a_(indiquer _x000a_seulement _x000a_les dates de présentation)_x000a__x000a_aaaa-mm-jj" numFmtId="171">
      <sharedItems containsBlank="1"/>
    </cacheField>
    <cacheField name="Nom de la salle _x000a_ou du festival" numFmtId="0">
      <sharedItems containsNonDate="0" containsString="0" containsBlank="1"/>
    </cacheField>
    <cacheField name="1re partie" numFmtId="0">
      <sharedItems containsNonDate="0" containsString="0" containsBlank="1"/>
    </cacheField>
    <cacheField name="Type de spectacle" numFmtId="0">
      <sharedItems containsNonDate="0" containsString="0" containsBlank="1"/>
    </cacheField>
    <cacheField name="Hébergement fourni pour cette nuitée" numFmtId="0">
      <sharedItems containsNonDate="0" containsString="0" containsBlank="1"/>
    </cacheField>
    <cacheField name="Ville" numFmtId="0">
      <sharedItems containsNonDate="0" containsString="0" containsBlank="1"/>
    </cacheField>
    <cacheField name="Pays _x000a_ou _x000a_province si Canada" numFmtId="173">
      <sharedItems containsNonDate="0" containsBlank="1" count="9">
        <m/>
        <s v="LIBAN" u="1"/>
        <s v="Nouveau-Brunswick - Canada" u="1"/>
        <s v="SÉNÉGAL" u="1"/>
        <s v="Nouvelle-Écosse - Canada" u="1"/>
        <s v="Manitoba - Canada" u="1"/>
        <s v="ÉTATS-UNIS" u="1"/>
        <s v="EL SALVADOR" u="1"/>
        <s v="SAINTE-HÉLÈNE" u="1"/>
      </sharedItems>
    </cacheField>
    <cacheField name="Capacité _x000a_de la salle" numFmtId="3">
      <sharedItems containsNonDate="0" containsString="0" containsBlank="1"/>
    </cacheField>
    <cacheField name="Cachet _x000a_($ CA)" numFmtId="42">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7DF361A-DD79-425C-902D-86BB57A95430}" name="Tableau croisé dynamique1" cacheId="129" applyNumberFormats="0" applyBorderFormats="0" applyFontFormats="0" applyPatternFormats="0" applyAlignmentFormats="0" applyWidthHeightFormats="1" dataCaption="Valeurs" updatedVersion="8" minRefreshableVersion="3" useAutoFormatting="1" itemPrintTitles="1" createdVersion="8" indent="0" compact="0" compactData="0" gridDropZones="1" multipleFieldFilters="0">
  <location ref="A5:G8" firstHeaderRow="2" firstDataRow="2" firstDataCol="1"/>
  <pivotFields count="9">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0">
        <item x="0"/>
        <item m="1" x="2"/>
        <item m="1" x="6"/>
        <item m="1" x="4"/>
        <item m="1" x="5"/>
        <item m="1" x="3"/>
        <item m="1" x="1"/>
        <item m="1" x="7"/>
        <item m="1" x="8"/>
        <item t="default"/>
      </items>
    </pivotField>
    <pivotField compact="0" outline="0" showAll="0"/>
    <pivotField compact="0" outline="0" showAll="0"/>
  </pivotFields>
  <rowFields count="1">
    <field x="6"/>
  </rowFields>
  <rowItems count="2">
    <i>
      <x/>
    </i>
    <i t="grand">
      <x/>
    </i>
  </rowItems>
  <colItems count="1">
    <i/>
  </colItems>
  <formats count="1">
    <format dxfId="121">
      <pivotArea field="-2" type="button"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lobalpetrolprices.com/gasoline_prices/" TargetMode="External"/><Relationship Id="rId2" Type="http://schemas.openxmlformats.org/officeDocument/2006/relationships/hyperlink" Target="https://www.mapquest.com/routeplanner/narrative" TargetMode="External"/><Relationship Id="rId1" Type="http://schemas.openxmlformats.org/officeDocument/2006/relationships/hyperlink" Target="https://www.banqueducanada.ca/taux/taux-de-change/convertisseur-de-devis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06893-42EF-4DB5-8B6D-54BB87C6469C}">
  <sheetPr codeName="Feuil1">
    <tabColor theme="4" tint="0.79998168889431442"/>
    <pageSetUpPr fitToPage="1"/>
  </sheetPr>
  <dimension ref="B1:T296"/>
  <sheetViews>
    <sheetView showGridLines="0" tabSelected="1" zoomScale="90" zoomScaleNormal="90" workbookViewId="0">
      <selection activeCell="C9" sqref="C9:L9"/>
    </sheetView>
  </sheetViews>
  <sheetFormatPr baseColWidth="10" defaultColWidth="10.81640625" defaultRowHeight="14" x14ac:dyDescent="0.35"/>
  <cols>
    <col min="1" max="1" width="1.54296875" style="62" customWidth="1"/>
    <col min="2" max="2" width="2.54296875" style="62" customWidth="1"/>
    <col min="3" max="3" width="26.08984375" style="62" customWidth="1"/>
    <col min="4" max="4" width="20.54296875" style="62" customWidth="1"/>
    <col min="5" max="5" width="16.6328125" style="62" customWidth="1"/>
    <col min="6" max="6" width="18.6328125" style="197" customWidth="1"/>
    <col min="7" max="7" width="16.6328125" style="62" customWidth="1"/>
    <col min="8" max="8" width="27.1796875" style="62" customWidth="1"/>
    <col min="9" max="9" width="16.6328125" style="62" customWidth="1"/>
    <col min="10" max="10" width="20" style="62" customWidth="1"/>
    <col min="11" max="11" width="18.6328125" style="62" customWidth="1"/>
    <col min="12" max="12" width="26.81640625" style="62" customWidth="1"/>
    <col min="13" max="13" width="2.54296875" style="197" customWidth="1"/>
    <col min="14" max="14" width="1.54296875" style="62" customWidth="1"/>
    <col min="15" max="15" width="30.81640625" style="62" customWidth="1"/>
    <col min="16" max="16" width="32.36328125" style="199" hidden="1" customWidth="1"/>
    <col min="17" max="17" width="18.36328125" style="62" hidden="1" customWidth="1"/>
    <col min="18" max="18" width="24" style="62" hidden="1" customWidth="1"/>
    <col min="19" max="19" width="21.54296875" style="62" hidden="1" customWidth="1"/>
    <col min="20" max="20" width="32.36328125" style="62" customWidth="1"/>
    <col min="21" max="16384" width="10.81640625" style="62"/>
  </cols>
  <sheetData>
    <row r="1" spans="2:18" ht="36" customHeight="1" x14ac:dyDescent="0.35">
      <c r="F1" s="893" t="s">
        <v>571</v>
      </c>
      <c r="G1" s="893"/>
      <c r="H1" s="893"/>
      <c r="I1" s="893"/>
      <c r="J1" s="893"/>
      <c r="K1" s="893"/>
      <c r="L1" s="893"/>
      <c r="M1" s="893"/>
      <c r="N1" s="105"/>
      <c r="O1" s="105"/>
      <c r="P1" s="198"/>
      <c r="Q1" s="105"/>
      <c r="R1" s="106"/>
    </row>
    <row r="2" spans="2:18" ht="16" customHeight="1" x14ac:dyDescent="0.35">
      <c r="G2" s="899" t="s">
        <v>87</v>
      </c>
      <c r="H2" s="899"/>
      <c r="I2" s="899"/>
      <c r="J2" s="899"/>
      <c r="K2" s="899"/>
      <c r="L2" s="899"/>
      <c r="M2" s="899"/>
      <c r="P2" s="198"/>
      <c r="Q2" s="197"/>
    </row>
    <row r="3" spans="2:18" ht="16" customHeight="1" x14ac:dyDescent="0.35">
      <c r="C3" s="108"/>
      <c r="D3" s="108"/>
      <c r="E3" s="108"/>
      <c r="F3" s="108"/>
      <c r="G3" s="109"/>
      <c r="H3" s="109"/>
      <c r="J3" s="900" t="s">
        <v>3</v>
      </c>
      <c r="K3" s="900"/>
      <c r="L3" s="900"/>
      <c r="M3" s="900"/>
      <c r="Q3" s="197"/>
    </row>
    <row r="4" spans="2:18" ht="12" customHeight="1" x14ac:dyDescent="0.35">
      <c r="C4" s="108"/>
      <c r="D4" s="108"/>
      <c r="E4" s="108"/>
      <c r="F4" s="108"/>
      <c r="G4" s="109"/>
      <c r="H4" s="109"/>
      <c r="K4" s="898" t="s">
        <v>858</v>
      </c>
      <c r="L4" s="898"/>
      <c r="M4" s="898"/>
      <c r="Q4" s="197"/>
    </row>
    <row r="5" spans="2:18" ht="10" customHeight="1" x14ac:dyDescent="0.35">
      <c r="C5" s="108"/>
      <c r="D5" s="108"/>
      <c r="E5" s="108"/>
      <c r="F5" s="108"/>
      <c r="G5" s="109"/>
      <c r="H5" s="109"/>
      <c r="M5" s="110"/>
      <c r="Q5" s="197"/>
    </row>
    <row r="6" spans="2:18" ht="70" customHeight="1" x14ac:dyDescent="0.35">
      <c r="C6" s="894" t="s">
        <v>39</v>
      </c>
      <c r="D6" s="895"/>
      <c r="E6" s="895"/>
      <c r="F6" s="895"/>
      <c r="G6" s="895"/>
      <c r="H6" s="895"/>
      <c r="I6" s="895"/>
      <c r="J6" s="895"/>
      <c r="K6" s="895"/>
      <c r="L6" s="896"/>
      <c r="M6" s="110"/>
      <c r="P6" s="862" t="s">
        <v>65</v>
      </c>
      <c r="Q6" s="197"/>
    </row>
    <row r="7" spans="2:18" ht="10" customHeight="1" thickBot="1" x14ac:dyDescent="0.4">
      <c r="P7" s="862"/>
      <c r="Q7" s="123"/>
      <c r="R7" s="138"/>
    </row>
    <row r="8" spans="2:18" ht="10" customHeight="1" x14ac:dyDescent="0.35">
      <c r="B8" s="111"/>
      <c r="C8" s="115"/>
      <c r="D8" s="115"/>
      <c r="E8" s="115"/>
      <c r="F8" s="200"/>
      <c r="G8" s="115"/>
      <c r="H8" s="115"/>
      <c r="I8" s="115"/>
      <c r="J8" s="115"/>
      <c r="K8" s="115"/>
      <c r="L8" s="115"/>
      <c r="M8" s="201"/>
      <c r="P8" s="202"/>
      <c r="Q8" s="138"/>
    </row>
    <row r="9" spans="2:18" ht="27.65" customHeight="1" x14ac:dyDescent="0.35">
      <c r="B9" s="118"/>
      <c r="C9" s="844" t="s">
        <v>63</v>
      </c>
      <c r="D9" s="844"/>
      <c r="E9" s="844"/>
      <c r="F9" s="844"/>
      <c r="G9" s="844"/>
      <c r="H9" s="844"/>
      <c r="I9" s="844"/>
      <c r="J9" s="844"/>
      <c r="K9" s="844"/>
      <c r="L9" s="844"/>
      <c r="M9" s="126"/>
      <c r="P9" s="202"/>
      <c r="Q9" s="138"/>
    </row>
    <row r="10" spans="2:18" ht="10" customHeight="1" x14ac:dyDescent="0.35">
      <c r="B10" s="118"/>
      <c r="M10" s="126"/>
      <c r="P10" s="202"/>
      <c r="Q10" s="138"/>
    </row>
    <row r="11" spans="2:18" ht="27.65" customHeight="1" x14ac:dyDescent="0.35">
      <c r="B11" s="118"/>
      <c r="C11" s="203" t="s">
        <v>72</v>
      </c>
      <c r="M11" s="126"/>
      <c r="P11" s="204"/>
      <c r="Q11" s="138"/>
    </row>
    <row r="12" spans="2:18" ht="48" customHeight="1" x14ac:dyDescent="0.35">
      <c r="B12" s="118"/>
      <c r="D12" s="866" t="s">
        <v>73</v>
      </c>
      <c r="E12" s="866"/>
      <c r="F12" s="866"/>
      <c r="G12" s="866"/>
      <c r="H12" s="866"/>
      <c r="I12" s="866"/>
      <c r="J12" s="866"/>
      <c r="K12" s="866"/>
      <c r="L12" s="866"/>
      <c r="M12" s="126"/>
      <c r="P12" s="204"/>
      <c r="Q12" s="138"/>
    </row>
    <row r="13" spans="2:18" ht="10" customHeight="1" x14ac:dyDescent="0.35">
      <c r="B13" s="118"/>
      <c r="D13" s="205"/>
      <c r="E13" s="205"/>
      <c r="M13" s="126"/>
      <c r="P13" s="204"/>
      <c r="Q13" s="138"/>
    </row>
    <row r="14" spans="2:18" ht="27.65" customHeight="1" x14ac:dyDescent="0.35">
      <c r="B14" s="118"/>
      <c r="C14" s="203" t="s">
        <v>74</v>
      </c>
      <c r="D14" s="206"/>
      <c r="E14" s="206"/>
      <c r="F14" s="206"/>
      <c r="G14" s="206"/>
      <c r="H14" s="206"/>
      <c r="M14" s="126"/>
      <c r="P14" s="204"/>
      <c r="Q14" s="138"/>
    </row>
    <row r="15" spans="2:18" ht="26.15" customHeight="1" x14ac:dyDescent="0.35">
      <c r="B15" s="118"/>
      <c r="D15" s="866" t="s">
        <v>75</v>
      </c>
      <c r="E15" s="866"/>
      <c r="F15" s="866"/>
      <c r="G15" s="866"/>
      <c r="H15" s="866"/>
      <c r="I15" s="866"/>
      <c r="J15" s="866"/>
      <c r="K15" s="866"/>
      <c r="L15" s="866"/>
      <c r="M15" s="126"/>
      <c r="P15" s="204"/>
      <c r="Q15" s="138"/>
    </row>
    <row r="16" spans="2:18" ht="10" customHeight="1" thickBot="1" x14ac:dyDescent="0.4">
      <c r="B16" s="207"/>
      <c r="C16" s="195"/>
      <c r="D16" s="195"/>
      <c r="E16" s="195"/>
      <c r="F16" s="208"/>
      <c r="G16" s="195"/>
      <c r="H16" s="195"/>
      <c r="I16" s="195"/>
      <c r="J16" s="195"/>
      <c r="K16" s="195"/>
      <c r="L16" s="195"/>
      <c r="M16" s="196"/>
      <c r="P16" s="202"/>
      <c r="Q16" s="138"/>
    </row>
    <row r="17" spans="2:18" ht="14.15" customHeight="1" thickBot="1" x14ac:dyDescent="0.4">
      <c r="Q17" s="123"/>
      <c r="R17" s="138"/>
    </row>
    <row r="18" spans="2:18" ht="10" customHeight="1" x14ac:dyDescent="0.45">
      <c r="B18" s="111"/>
      <c r="C18" s="112"/>
      <c r="D18" s="112"/>
      <c r="E18" s="112"/>
      <c r="F18" s="113"/>
      <c r="G18" s="114"/>
      <c r="H18" s="114"/>
      <c r="I18" s="115"/>
      <c r="J18" s="115"/>
      <c r="K18" s="115"/>
      <c r="L18" s="115"/>
      <c r="M18" s="116"/>
      <c r="P18" s="209"/>
      <c r="Q18" s="197"/>
    </row>
    <row r="19" spans="2:18" ht="26.15" customHeight="1" x14ac:dyDescent="0.35">
      <c r="B19" s="118"/>
      <c r="C19" s="844" t="s">
        <v>4</v>
      </c>
      <c r="D19" s="844"/>
      <c r="E19" s="844"/>
      <c r="F19" s="844"/>
      <c r="G19" s="844"/>
      <c r="H19" s="844"/>
      <c r="I19" s="844"/>
      <c r="J19" s="844"/>
      <c r="K19" s="844"/>
      <c r="L19" s="844"/>
      <c r="M19" s="119"/>
      <c r="Q19" s="197"/>
    </row>
    <row r="20" spans="2:18" ht="28" customHeight="1" x14ac:dyDescent="0.45">
      <c r="B20" s="118"/>
      <c r="C20" s="823" t="s">
        <v>2</v>
      </c>
      <c r="D20" s="823"/>
      <c r="E20" s="823"/>
      <c r="F20" s="823"/>
      <c r="G20" s="823"/>
      <c r="H20" s="823"/>
      <c r="I20" s="823"/>
      <c r="J20" s="823"/>
      <c r="K20" s="823"/>
      <c r="L20" s="823"/>
      <c r="M20" s="126"/>
      <c r="P20" s="210"/>
    </row>
    <row r="21" spans="2:18" ht="10" customHeight="1" x14ac:dyDescent="0.45">
      <c r="B21" s="118"/>
      <c r="C21" s="211"/>
      <c r="D21" s="212"/>
      <c r="E21" s="212"/>
      <c r="F21" s="212"/>
      <c r="G21" s="212"/>
      <c r="H21" s="212"/>
      <c r="I21" s="212"/>
      <c r="J21" s="212"/>
      <c r="K21" s="212"/>
      <c r="L21" s="213"/>
      <c r="M21" s="126"/>
      <c r="P21" s="210"/>
    </row>
    <row r="22" spans="2:18" ht="24" customHeight="1" x14ac:dyDescent="0.35">
      <c r="B22" s="118"/>
      <c r="C22" s="838" t="s">
        <v>15</v>
      </c>
      <c r="D22" s="839"/>
      <c r="E22" s="839"/>
      <c r="F22" s="214"/>
      <c r="G22" s="809"/>
      <c r="H22" s="853"/>
      <c r="I22" s="853"/>
      <c r="J22" s="853"/>
      <c r="K22" s="853"/>
      <c r="L22" s="810"/>
      <c r="M22" s="126"/>
    </row>
    <row r="23" spans="2:18" ht="24" customHeight="1" x14ac:dyDescent="0.35">
      <c r="B23" s="118"/>
      <c r="C23" s="838" t="s">
        <v>16</v>
      </c>
      <c r="D23" s="839"/>
      <c r="E23" s="839"/>
      <c r="F23" s="214"/>
      <c r="G23" s="809"/>
      <c r="H23" s="853"/>
      <c r="I23" s="853"/>
      <c r="J23" s="853"/>
      <c r="K23" s="853"/>
      <c r="L23" s="810"/>
      <c r="M23" s="126"/>
    </row>
    <row r="24" spans="2:18" ht="24" customHeight="1" x14ac:dyDescent="0.35">
      <c r="B24" s="118"/>
      <c r="C24" s="838" t="s">
        <v>17</v>
      </c>
      <c r="D24" s="839"/>
      <c r="E24" s="839"/>
      <c r="F24" s="214"/>
      <c r="G24" s="809"/>
      <c r="H24" s="853"/>
      <c r="I24" s="853"/>
      <c r="J24" s="853"/>
      <c r="K24" s="853"/>
      <c r="L24" s="810"/>
      <c r="M24" s="126"/>
    </row>
    <row r="25" spans="2:18" ht="24" customHeight="1" x14ac:dyDescent="0.35">
      <c r="B25" s="118"/>
      <c r="C25" s="838" t="s">
        <v>18</v>
      </c>
      <c r="D25" s="839"/>
      <c r="E25" s="839"/>
      <c r="F25" s="214"/>
      <c r="G25" s="50"/>
      <c r="H25" s="215"/>
      <c r="I25" s="216"/>
      <c r="J25" s="217" t="s">
        <v>11</v>
      </c>
      <c r="K25" s="216" t="s">
        <v>12</v>
      </c>
      <c r="L25" s="177"/>
      <c r="M25" s="126"/>
    </row>
    <row r="26" spans="2:18" ht="10" customHeight="1" x14ac:dyDescent="0.35">
      <c r="B26" s="118"/>
      <c r="C26" s="218"/>
      <c r="D26" s="219"/>
      <c r="E26" s="219"/>
      <c r="F26" s="220"/>
      <c r="G26" s="221"/>
      <c r="H26" s="221"/>
      <c r="I26" s="222"/>
      <c r="J26" s="222"/>
      <c r="K26" s="222"/>
      <c r="L26" s="135"/>
      <c r="M26" s="126"/>
    </row>
    <row r="27" spans="2:18" ht="28" customHeight="1" x14ac:dyDescent="0.35">
      <c r="B27" s="118"/>
      <c r="C27" s="897" t="s">
        <v>14</v>
      </c>
      <c r="D27" s="897"/>
      <c r="E27" s="897"/>
      <c r="F27" s="897"/>
      <c r="G27" s="897"/>
      <c r="H27" s="897"/>
      <c r="I27" s="897"/>
      <c r="J27" s="897"/>
      <c r="K27" s="897"/>
      <c r="L27" s="897"/>
      <c r="M27" s="126"/>
    </row>
    <row r="28" spans="2:18" ht="28" customHeight="1" x14ac:dyDescent="0.35">
      <c r="B28" s="118"/>
      <c r="C28" s="807" t="s">
        <v>854</v>
      </c>
      <c r="D28" s="808"/>
      <c r="E28" s="808"/>
      <c r="F28" s="808"/>
      <c r="G28" s="808"/>
      <c r="H28" s="808"/>
      <c r="I28" s="808"/>
      <c r="J28" s="808"/>
      <c r="K28" s="808"/>
      <c r="L28" s="808"/>
      <c r="M28" s="126"/>
    </row>
    <row r="29" spans="2:18" ht="10" customHeight="1" x14ac:dyDescent="0.35">
      <c r="B29" s="118"/>
      <c r="C29" s="223"/>
      <c r="D29" s="223"/>
      <c r="E29" s="223"/>
      <c r="F29" s="223"/>
      <c r="G29" s="223"/>
      <c r="H29" s="223"/>
      <c r="I29" s="223"/>
      <c r="J29" s="223"/>
      <c r="K29" s="223"/>
      <c r="L29" s="223"/>
      <c r="M29" s="126"/>
    </row>
    <row r="30" spans="2:18" ht="10" customHeight="1" x14ac:dyDescent="0.45">
      <c r="B30" s="118"/>
      <c r="C30" s="211"/>
      <c r="D30" s="212"/>
      <c r="E30" s="212"/>
      <c r="F30" s="212"/>
      <c r="G30" s="212"/>
      <c r="H30" s="212"/>
      <c r="I30" s="212"/>
      <c r="J30" s="212"/>
      <c r="K30" s="212"/>
      <c r="L30" s="213"/>
      <c r="M30" s="126"/>
      <c r="P30" s="210"/>
    </row>
    <row r="31" spans="2:18" ht="24" customHeight="1" x14ac:dyDescent="0.35">
      <c r="B31" s="118"/>
      <c r="C31" s="820" t="s">
        <v>19</v>
      </c>
      <c r="D31" s="821"/>
      <c r="E31" s="821"/>
      <c r="F31" s="157"/>
      <c r="G31" s="875"/>
      <c r="H31" s="876"/>
      <c r="I31" s="876"/>
      <c r="J31" s="876"/>
      <c r="K31" s="876"/>
      <c r="L31" s="877"/>
      <c r="M31" s="126"/>
    </row>
    <row r="32" spans="2:18" ht="24" customHeight="1" x14ac:dyDescent="0.35">
      <c r="B32" s="118"/>
      <c r="C32" s="224" t="s">
        <v>23</v>
      </c>
      <c r="D32" s="154"/>
      <c r="E32" s="154"/>
      <c r="F32" s="154"/>
      <c r="G32" s="875"/>
      <c r="H32" s="876"/>
      <c r="I32" s="876"/>
      <c r="J32" s="876"/>
      <c r="K32" s="876"/>
      <c r="L32" s="877"/>
      <c r="M32" s="126"/>
    </row>
    <row r="33" spans="2:16" ht="24" customHeight="1" x14ac:dyDescent="0.35">
      <c r="B33" s="118"/>
      <c r="C33" s="838" t="s">
        <v>20</v>
      </c>
      <c r="D33" s="839"/>
      <c r="E33" s="839"/>
      <c r="F33" s="214"/>
      <c r="G33" s="875"/>
      <c r="H33" s="876"/>
      <c r="I33" s="876"/>
      <c r="J33" s="876"/>
      <c r="K33" s="876"/>
      <c r="L33" s="877"/>
      <c r="M33" s="126"/>
    </row>
    <row r="34" spans="2:16" ht="24" customHeight="1" x14ac:dyDescent="0.35">
      <c r="B34" s="118"/>
      <c r="C34" s="838" t="s">
        <v>21</v>
      </c>
      <c r="D34" s="839"/>
      <c r="E34" s="839"/>
      <c r="F34" s="214"/>
      <c r="G34" s="865"/>
      <c r="H34" s="812"/>
      <c r="I34" s="813"/>
      <c r="J34" s="863" t="s">
        <v>77</v>
      </c>
      <c r="K34" s="863"/>
      <c r="L34" s="864"/>
      <c r="M34" s="126"/>
    </row>
    <row r="35" spans="2:16" ht="24" customHeight="1" x14ac:dyDescent="0.35">
      <c r="B35" s="118"/>
      <c r="C35" s="838" t="s">
        <v>22</v>
      </c>
      <c r="D35" s="839"/>
      <c r="E35" s="839"/>
      <c r="F35" s="214"/>
      <c r="G35" s="811"/>
      <c r="H35" s="812"/>
      <c r="I35" s="813"/>
      <c r="J35" s="216"/>
      <c r="K35" s="226"/>
      <c r="L35" s="227"/>
      <c r="M35" s="126"/>
    </row>
    <row r="36" spans="2:16" s="1" customFormat="1" ht="18" customHeight="1" x14ac:dyDescent="0.3">
      <c r="B36" s="171"/>
      <c r="C36" s="867" t="str">
        <f>IF(AND(G35="",G34&lt;&gt;""),"L'adresse courriel du représentant officiel de l'entreprise est essentielle pour communiquer la décision","")</f>
        <v/>
      </c>
      <c r="D36" s="868"/>
      <c r="E36" s="868"/>
      <c r="F36" s="868"/>
      <c r="G36" s="871" t="s">
        <v>636</v>
      </c>
      <c r="H36" s="871"/>
      <c r="I36" s="871"/>
      <c r="J36" s="871"/>
      <c r="K36" s="871"/>
      <c r="L36" s="872"/>
      <c r="M36" s="228"/>
      <c r="P36" s="229"/>
    </row>
    <row r="37" spans="2:16" ht="10" customHeight="1" x14ac:dyDescent="0.35">
      <c r="B37" s="118"/>
      <c r="C37" s="869"/>
      <c r="D37" s="870"/>
      <c r="E37" s="870"/>
      <c r="F37" s="870"/>
      <c r="G37" s="873"/>
      <c r="H37" s="873"/>
      <c r="I37" s="873"/>
      <c r="J37" s="873"/>
      <c r="K37" s="873"/>
      <c r="L37" s="874"/>
      <c r="M37" s="126"/>
    </row>
    <row r="38" spans="2:16" ht="28" customHeight="1" x14ac:dyDescent="0.35">
      <c r="B38" s="118"/>
      <c r="C38" s="897" t="s">
        <v>10</v>
      </c>
      <c r="D38" s="897"/>
      <c r="E38" s="897"/>
      <c r="F38" s="897"/>
      <c r="G38" s="897"/>
      <c r="H38" s="897"/>
      <c r="I38" s="897"/>
      <c r="J38" s="897"/>
      <c r="K38" s="897"/>
      <c r="L38" s="897"/>
      <c r="M38" s="126"/>
    </row>
    <row r="39" spans="2:16" ht="10" customHeight="1" x14ac:dyDescent="0.45">
      <c r="B39" s="118"/>
      <c r="C39" s="211"/>
      <c r="D39" s="212"/>
      <c r="E39" s="212"/>
      <c r="F39" s="212"/>
      <c r="G39" s="212"/>
      <c r="H39" s="212"/>
      <c r="I39" s="212"/>
      <c r="J39" s="212"/>
      <c r="K39" s="212"/>
      <c r="L39" s="213"/>
      <c r="M39" s="126"/>
      <c r="P39" s="210"/>
    </row>
    <row r="40" spans="2:16" ht="24" customHeight="1" x14ac:dyDescent="0.35">
      <c r="B40" s="118"/>
      <c r="C40" s="820" t="s">
        <v>5</v>
      </c>
      <c r="D40" s="821"/>
      <c r="E40" s="821"/>
      <c r="F40" s="154"/>
      <c r="G40" s="875"/>
      <c r="H40" s="876"/>
      <c r="I40" s="876"/>
      <c r="J40" s="876"/>
      <c r="K40" s="876"/>
      <c r="L40" s="877"/>
      <c r="M40" s="126"/>
    </row>
    <row r="41" spans="2:16" ht="24" customHeight="1" x14ac:dyDescent="0.35">
      <c r="B41" s="118"/>
      <c r="C41" s="224" t="s">
        <v>6</v>
      </c>
      <c r="D41" s="154"/>
      <c r="E41" s="154"/>
      <c r="F41" s="154"/>
      <c r="G41" s="875"/>
      <c r="H41" s="876"/>
      <c r="I41" s="876"/>
      <c r="J41" s="876"/>
      <c r="K41" s="876"/>
      <c r="L41" s="877"/>
      <c r="M41" s="126"/>
    </row>
    <row r="42" spans="2:16" ht="24" customHeight="1" x14ac:dyDescent="0.35">
      <c r="B42" s="118"/>
      <c r="C42" s="838" t="s">
        <v>7</v>
      </c>
      <c r="D42" s="839"/>
      <c r="E42" s="839"/>
      <c r="F42" s="217"/>
      <c r="G42" s="875"/>
      <c r="H42" s="876"/>
      <c r="I42" s="876"/>
      <c r="J42" s="876"/>
      <c r="K42" s="876"/>
      <c r="L42" s="877"/>
      <c r="M42" s="126"/>
    </row>
    <row r="43" spans="2:16" ht="24" customHeight="1" x14ac:dyDescent="0.35">
      <c r="B43" s="118"/>
      <c r="C43" s="838" t="s">
        <v>8</v>
      </c>
      <c r="D43" s="839"/>
      <c r="E43" s="839"/>
      <c r="F43" s="217"/>
      <c r="G43" s="865"/>
      <c r="H43" s="812"/>
      <c r="I43" s="813"/>
      <c r="J43" s="230"/>
      <c r="K43" s="230"/>
      <c r="L43" s="231"/>
      <c r="M43" s="126"/>
    </row>
    <row r="44" spans="2:16" ht="24" customHeight="1" x14ac:dyDescent="0.35">
      <c r="B44" s="118"/>
      <c r="C44" s="838" t="s">
        <v>9</v>
      </c>
      <c r="D44" s="839"/>
      <c r="E44" s="839"/>
      <c r="F44" s="217"/>
      <c r="G44" s="811"/>
      <c r="H44" s="812"/>
      <c r="I44" s="813"/>
      <c r="J44" s="157"/>
      <c r="K44" s="157"/>
      <c r="L44" s="158"/>
      <c r="M44" s="126"/>
    </row>
    <row r="45" spans="2:16" ht="18" customHeight="1" x14ac:dyDescent="0.35">
      <c r="B45" s="118"/>
      <c r="C45" s="127"/>
      <c r="D45" s="128"/>
      <c r="E45" s="128"/>
      <c r="F45" s="217"/>
      <c r="G45" s="871" t="s">
        <v>637</v>
      </c>
      <c r="H45" s="871"/>
      <c r="I45" s="871"/>
      <c r="J45" s="871"/>
      <c r="K45" s="871"/>
      <c r="L45" s="872"/>
      <c r="M45" s="126"/>
    </row>
    <row r="46" spans="2:16" ht="10" customHeight="1" x14ac:dyDescent="0.35">
      <c r="B46" s="118"/>
      <c r="C46" s="218"/>
      <c r="D46" s="219"/>
      <c r="E46" s="219"/>
      <c r="F46" s="220"/>
      <c r="G46" s="873"/>
      <c r="H46" s="873"/>
      <c r="I46" s="873"/>
      <c r="J46" s="873"/>
      <c r="K46" s="873"/>
      <c r="L46" s="874"/>
      <c r="M46" s="126"/>
    </row>
    <row r="47" spans="2:16" ht="28" customHeight="1" x14ac:dyDescent="0.45">
      <c r="B47" s="118"/>
      <c r="C47" s="823" t="s">
        <v>687</v>
      </c>
      <c r="D47" s="823"/>
      <c r="E47" s="823"/>
      <c r="F47" s="823"/>
      <c r="G47" s="823"/>
      <c r="H47" s="823"/>
      <c r="I47" s="823"/>
      <c r="J47" s="823"/>
      <c r="K47" s="823"/>
      <c r="L47" s="823"/>
      <c r="M47" s="126"/>
      <c r="P47" s="210"/>
    </row>
    <row r="48" spans="2:16" ht="10" customHeight="1" x14ac:dyDescent="0.45">
      <c r="B48" s="118"/>
      <c r="C48" s="211"/>
      <c r="D48" s="212"/>
      <c r="E48" s="212"/>
      <c r="F48" s="212"/>
      <c r="G48" s="212"/>
      <c r="H48" s="212"/>
      <c r="I48" s="212"/>
      <c r="J48" s="212"/>
      <c r="K48" s="212"/>
      <c r="L48" s="213"/>
      <c r="M48" s="126"/>
      <c r="P48" s="210"/>
    </row>
    <row r="49" spans="2:16" ht="26" customHeight="1" x14ac:dyDescent="0.35">
      <c r="B49" s="118"/>
      <c r="C49" s="826" t="s">
        <v>689</v>
      </c>
      <c r="D49" s="827"/>
      <c r="E49" s="827"/>
      <c r="F49" s="827"/>
      <c r="G49" s="827"/>
      <c r="H49" s="827"/>
      <c r="I49" s="827"/>
      <c r="J49" s="827"/>
      <c r="K49" s="827"/>
      <c r="L49" s="828"/>
      <c r="M49" s="126"/>
      <c r="P49" s="232"/>
    </row>
    <row r="50" spans="2:16" ht="24" customHeight="1" x14ac:dyDescent="0.35">
      <c r="B50" s="118"/>
      <c r="C50" s="829" t="s">
        <v>725</v>
      </c>
      <c r="D50" s="830"/>
      <c r="E50" s="830"/>
      <c r="F50" s="830"/>
      <c r="G50" s="830"/>
      <c r="H50" s="830"/>
      <c r="I50" s="830"/>
      <c r="J50" s="830"/>
      <c r="K50" s="830"/>
      <c r="L50" s="831"/>
      <c r="M50" s="126"/>
      <c r="P50" s="232"/>
    </row>
    <row r="51" spans="2:16" ht="55" customHeight="1" x14ac:dyDescent="0.35">
      <c r="B51" s="118"/>
      <c r="C51" s="832" t="s">
        <v>726</v>
      </c>
      <c r="D51" s="833"/>
      <c r="E51" s="833"/>
      <c r="F51" s="833"/>
      <c r="G51" s="833"/>
      <c r="H51" s="833"/>
      <c r="I51" s="833"/>
      <c r="J51" s="833"/>
      <c r="K51" s="833"/>
      <c r="L51" s="834"/>
      <c r="M51" s="126"/>
      <c r="P51" s="232"/>
    </row>
    <row r="52" spans="2:16" ht="52" customHeight="1" x14ac:dyDescent="0.35">
      <c r="B52" s="118"/>
      <c r="C52" s="832" t="s">
        <v>822</v>
      </c>
      <c r="D52" s="833"/>
      <c r="E52" s="833"/>
      <c r="F52" s="833"/>
      <c r="G52" s="833"/>
      <c r="H52" s="833"/>
      <c r="I52" s="833"/>
      <c r="J52" s="833"/>
      <c r="K52" s="833"/>
      <c r="L52" s="834"/>
      <c r="M52" s="126"/>
      <c r="P52" s="232"/>
    </row>
    <row r="53" spans="2:16" ht="22" customHeight="1" x14ac:dyDescent="0.35">
      <c r="B53" s="118"/>
      <c r="C53" s="835" t="s">
        <v>727</v>
      </c>
      <c r="D53" s="836"/>
      <c r="E53" s="836"/>
      <c r="F53" s="836"/>
      <c r="G53" s="836"/>
      <c r="H53" s="836"/>
      <c r="I53" s="836"/>
      <c r="J53" s="836"/>
      <c r="K53" s="836"/>
      <c r="L53" s="837"/>
      <c r="M53" s="126"/>
      <c r="P53" s="232"/>
    </row>
    <row r="54" spans="2:16" ht="24" customHeight="1" x14ac:dyDescent="0.35">
      <c r="B54" s="118"/>
      <c r="C54" s="829" t="s">
        <v>728</v>
      </c>
      <c r="D54" s="830"/>
      <c r="E54" s="830"/>
      <c r="F54" s="830"/>
      <c r="G54" s="830"/>
      <c r="H54" s="830"/>
      <c r="I54" s="830"/>
      <c r="J54" s="830"/>
      <c r="K54" s="830"/>
      <c r="L54" s="831"/>
      <c r="M54" s="126"/>
      <c r="P54" s="232"/>
    </row>
    <row r="55" spans="2:16" ht="24" customHeight="1" x14ac:dyDescent="0.35">
      <c r="B55" s="118"/>
      <c r="C55" s="829" t="s">
        <v>823</v>
      </c>
      <c r="D55" s="830"/>
      <c r="E55" s="830"/>
      <c r="F55" s="830"/>
      <c r="G55" s="830"/>
      <c r="H55" s="830"/>
      <c r="I55" s="830"/>
      <c r="J55" s="830"/>
      <c r="K55" s="830"/>
      <c r="L55" s="831"/>
      <c r="M55" s="126"/>
      <c r="P55" s="232"/>
    </row>
    <row r="56" spans="2:16" ht="24" customHeight="1" x14ac:dyDescent="0.35">
      <c r="B56" s="118"/>
      <c r="C56" s="832" t="s">
        <v>729</v>
      </c>
      <c r="D56" s="830"/>
      <c r="E56" s="830"/>
      <c r="F56" s="830"/>
      <c r="G56" s="830"/>
      <c r="H56" s="830"/>
      <c r="I56" s="830"/>
      <c r="J56" s="830"/>
      <c r="K56" s="830"/>
      <c r="L56" s="831"/>
      <c r="M56" s="126"/>
      <c r="P56" s="232"/>
    </row>
    <row r="57" spans="2:16" ht="10" customHeight="1" x14ac:dyDescent="0.35">
      <c r="B57" s="118"/>
      <c r="C57" s="233"/>
      <c r="D57" s="234"/>
      <c r="E57" s="234"/>
      <c r="F57" s="234"/>
      <c r="G57" s="234"/>
      <c r="H57" s="234"/>
      <c r="I57" s="234"/>
      <c r="J57" s="234"/>
      <c r="K57" s="234"/>
      <c r="L57" s="235"/>
      <c r="M57" s="126"/>
      <c r="P57" s="232"/>
    </row>
    <row r="58" spans="2:16" ht="44" customHeight="1" x14ac:dyDescent="0.35">
      <c r="B58" s="118"/>
      <c r="C58" s="909" t="s">
        <v>688</v>
      </c>
      <c r="D58" s="910"/>
      <c r="E58" s="910"/>
      <c r="F58" s="910"/>
      <c r="G58" s="69"/>
      <c r="H58" s="234"/>
      <c r="I58" s="234"/>
      <c r="J58" s="824" t="str">
        <f>IF(G58="","",IF(G58="Oui","","Votre entreprise n'est pas admissible"))</f>
        <v/>
      </c>
      <c r="K58" s="824"/>
      <c r="L58" s="825"/>
      <c r="M58" s="126"/>
      <c r="P58" s="232"/>
    </row>
    <row r="59" spans="2:16" ht="10" customHeight="1" x14ac:dyDescent="0.45">
      <c r="B59" s="118"/>
      <c r="C59" s="236"/>
      <c r="D59" s="237"/>
      <c r="E59" s="237"/>
      <c r="F59" s="237"/>
      <c r="G59" s="237"/>
      <c r="H59" s="237"/>
      <c r="I59" s="237"/>
      <c r="J59" s="237"/>
      <c r="K59" s="237"/>
      <c r="L59" s="238"/>
      <c r="M59" s="126"/>
      <c r="P59" s="210"/>
    </row>
    <row r="60" spans="2:16" ht="28" customHeight="1" x14ac:dyDescent="0.45">
      <c r="B60" s="118"/>
      <c r="C60" s="823" t="s">
        <v>389</v>
      </c>
      <c r="D60" s="823"/>
      <c r="E60" s="823"/>
      <c r="F60" s="823"/>
      <c r="G60" s="823"/>
      <c r="H60" s="823"/>
      <c r="I60" s="823"/>
      <c r="J60" s="823"/>
      <c r="K60" s="823"/>
      <c r="L60" s="823"/>
      <c r="M60" s="126"/>
      <c r="P60" s="210"/>
    </row>
    <row r="61" spans="2:16" ht="10" customHeight="1" x14ac:dyDescent="0.45">
      <c r="B61" s="118"/>
      <c r="C61" s="211"/>
      <c r="D61" s="212"/>
      <c r="E61" s="212"/>
      <c r="F61" s="212"/>
      <c r="G61" s="212"/>
      <c r="H61" s="212"/>
      <c r="I61" s="212"/>
      <c r="J61" s="212"/>
      <c r="K61" s="212"/>
      <c r="L61" s="213"/>
      <c r="M61" s="126"/>
      <c r="P61" s="210"/>
    </row>
    <row r="62" spans="2:16" ht="24" customHeight="1" x14ac:dyDescent="0.3">
      <c r="B62" s="118"/>
      <c r="C62" s="838" t="s">
        <v>390</v>
      </c>
      <c r="D62" s="839"/>
      <c r="E62" s="839"/>
      <c r="F62" s="214"/>
      <c r="G62" s="60"/>
      <c r="H62" s="239"/>
      <c r="I62" s="239"/>
      <c r="J62" s="878" t="str">
        <f>IF(G62="","",IF(G62&lt;50000,"Le chiffre d'affaires est inférieur au requis du programme, soit 50,000 $",""))</f>
        <v/>
      </c>
      <c r="K62" s="878"/>
      <c r="L62" s="879"/>
      <c r="M62" s="126"/>
    </row>
    <row r="63" spans="2:16" ht="24" customHeight="1" x14ac:dyDescent="0.3">
      <c r="B63" s="118"/>
      <c r="C63" s="838" t="s">
        <v>391</v>
      </c>
      <c r="D63" s="839"/>
      <c r="E63" s="839"/>
      <c r="F63" s="214"/>
      <c r="G63" s="60"/>
      <c r="H63" s="240"/>
      <c r="I63" s="239"/>
      <c r="J63" s="878" t="str">
        <f>IF(G62="","",IF(AND(G64&lt;&gt;"",G63=""),"N'oubliez pas d'indiquer le chiffre d'affaires relié à l'exportation hors Québec",""))</f>
        <v/>
      </c>
      <c r="K63" s="878"/>
      <c r="L63" s="879"/>
      <c r="M63" s="126"/>
    </row>
    <row r="64" spans="2:16" ht="24" customHeight="1" x14ac:dyDescent="0.3">
      <c r="B64" s="118"/>
      <c r="C64" s="838" t="s">
        <v>518</v>
      </c>
      <c r="D64" s="839"/>
      <c r="E64" s="839"/>
      <c r="F64" s="214"/>
      <c r="G64" s="94"/>
      <c r="H64" s="241"/>
      <c r="I64" s="239"/>
      <c r="J64" s="239"/>
      <c r="K64" s="239"/>
      <c r="L64" s="242"/>
      <c r="M64" s="126"/>
    </row>
    <row r="65" spans="2:16" ht="10" customHeight="1" x14ac:dyDescent="0.35">
      <c r="B65" s="118"/>
      <c r="C65" s="182"/>
      <c r="D65" s="219"/>
      <c r="E65" s="219"/>
      <c r="F65" s="220"/>
      <c r="G65" s="243"/>
      <c r="H65" s="243"/>
      <c r="I65" s="243"/>
      <c r="J65" s="243"/>
      <c r="K65" s="243"/>
      <c r="L65" s="244"/>
      <c r="M65" s="126"/>
    </row>
    <row r="66" spans="2:16" ht="10" customHeight="1" thickBot="1" x14ac:dyDescent="0.4">
      <c r="B66" s="207"/>
      <c r="C66" s="245"/>
      <c r="D66" s="245"/>
      <c r="E66" s="245"/>
      <c r="F66" s="246"/>
      <c r="G66" s="247"/>
      <c r="H66" s="247"/>
      <c r="I66" s="195"/>
      <c r="J66" s="195"/>
      <c r="K66" s="195"/>
      <c r="L66" s="195"/>
      <c r="M66" s="196"/>
    </row>
    <row r="67" spans="2:16" ht="14.15" customHeight="1" thickBot="1" x14ac:dyDescent="0.4">
      <c r="C67" s="248"/>
      <c r="D67" s="248"/>
      <c r="E67" s="248"/>
      <c r="F67" s="248"/>
      <c r="G67" s="138"/>
      <c r="H67" s="138"/>
      <c r="I67" s="138"/>
      <c r="J67" s="138"/>
      <c r="K67" s="138"/>
      <c r="L67" s="138"/>
    </row>
    <row r="68" spans="2:16" ht="10" customHeight="1" x14ac:dyDescent="0.35">
      <c r="B68" s="111"/>
      <c r="C68" s="249"/>
      <c r="D68" s="249"/>
      <c r="E68" s="249"/>
      <c r="F68" s="250"/>
      <c r="G68" s="114"/>
      <c r="H68" s="114"/>
      <c r="I68" s="115"/>
      <c r="J68" s="115"/>
      <c r="K68" s="115"/>
      <c r="L68" s="115"/>
      <c r="M68" s="201"/>
    </row>
    <row r="69" spans="2:16" ht="24" customHeight="1" x14ac:dyDescent="0.35">
      <c r="B69" s="118"/>
      <c r="C69" s="903" t="s">
        <v>62</v>
      </c>
      <c r="D69" s="903"/>
      <c r="E69" s="903"/>
      <c r="F69" s="903"/>
      <c r="G69" s="903"/>
      <c r="H69" s="903"/>
      <c r="I69" s="903"/>
      <c r="J69" s="903"/>
      <c r="K69" s="903"/>
      <c r="L69" s="903"/>
      <c r="M69" s="126"/>
    </row>
    <row r="70" spans="2:16" ht="10" customHeight="1" x14ac:dyDescent="0.35">
      <c r="B70" s="118"/>
      <c r="C70" s="136"/>
      <c r="D70" s="136"/>
      <c r="E70" s="136"/>
      <c r="F70" s="137"/>
      <c r="G70" s="138"/>
      <c r="H70" s="138"/>
      <c r="I70" s="138"/>
      <c r="J70" s="138"/>
      <c r="K70" s="138"/>
      <c r="L70" s="138"/>
      <c r="M70" s="126"/>
    </row>
    <row r="71" spans="2:16" ht="28" customHeight="1" x14ac:dyDescent="0.35">
      <c r="B71" s="118"/>
      <c r="C71" s="251" t="s">
        <v>64</v>
      </c>
      <c r="D71" s="252"/>
      <c r="E71" s="252"/>
      <c r="F71" s="186"/>
      <c r="G71" s="138"/>
      <c r="H71" s="138"/>
      <c r="I71" s="138"/>
      <c r="J71" s="138"/>
      <c r="K71" s="138"/>
      <c r="L71" s="138"/>
      <c r="M71" s="126"/>
    </row>
    <row r="72" spans="2:16" ht="20.149999999999999" customHeight="1" x14ac:dyDescent="0.35">
      <c r="B72" s="118"/>
      <c r="C72" s="822" t="s">
        <v>662</v>
      </c>
      <c r="D72" s="822"/>
      <c r="E72" s="822"/>
      <c r="F72" s="822"/>
      <c r="G72" s="822"/>
      <c r="H72" s="822"/>
      <c r="I72" s="822"/>
      <c r="J72" s="822"/>
      <c r="K72" s="822"/>
      <c r="L72" s="822"/>
      <c r="M72" s="126"/>
    </row>
    <row r="73" spans="2:16" s="1" customFormat="1" ht="20.149999999999999" customHeight="1" x14ac:dyDescent="0.35">
      <c r="B73" s="171"/>
      <c r="C73" s="907" t="s">
        <v>82</v>
      </c>
      <c r="D73" s="907"/>
      <c r="E73" s="907"/>
      <c r="F73" s="907"/>
      <c r="G73" s="907"/>
      <c r="H73" s="907"/>
      <c r="I73" s="907"/>
      <c r="J73" s="907"/>
      <c r="K73" s="907"/>
      <c r="L73" s="907"/>
      <c r="M73" s="228"/>
      <c r="P73" s="229"/>
    </row>
    <row r="74" spans="2:16" ht="10" customHeight="1" x14ac:dyDescent="0.35">
      <c r="B74" s="118"/>
      <c r="C74" s="254"/>
      <c r="D74" s="255"/>
      <c r="E74" s="255"/>
      <c r="F74" s="255"/>
      <c r="G74" s="255"/>
      <c r="H74" s="255"/>
      <c r="I74" s="255"/>
      <c r="J74" s="255"/>
      <c r="K74" s="255"/>
      <c r="L74" s="255"/>
      <c r="M74" s="126"/>
    </row>
    <row r="75" spans="2:16" ht="28" customHeight="1" x14ac:dyDescent="0.35">
      <c r="B75" s="118"/>
      <c r="C75" s="904" t="str">
        <f>IF(G87="","",G77&amp;" - "&amp;"Tournée"&amp;" "&amp;G87&amp;" * "&amp;TEXT(G85,"j mmmm aaaa")&amp;" au "&amp;TEXT(G86,"j mmmm aaaa"))</f>
        <v/>
      </c>
      <c r="D75" s="904"/>
      <c r="E75" s="904"/>
      <c r="F75" s="904"/>
      <c r="G75" s="904"/>
      <c r="H75" s="904"/>
      <c r="I75" s="904"/>
      <c r="J75" s="904"/>
      <c r="K75" s="904"/>
      <c r="L75" s="904"/>
      <c r="M75" s="126"/>
    </row>
    <row r="76" spans="2:16" ht="10" customHeight="1" x14ac:dyDescent="0.35">
      <c r="B76" s="118"/>
      <c r="C76" s="256"/>
      <c r="D76" s="257"/>
      <c r="E76" s="257"/>
      <c r="F76" s="258"/>
      <c r="G76" s="259"/>
      <c r="H76" s="259"/>
      <c r="I76" s="259"/>
      <c r="J76" s="259"/>
      <c r="K76" s="259"/>
      <c r="L76" s="174"/>
      <c r="M76" s="126"/>
    </row>
    <row r="77" spans="2:16" ht="24" customHeight="1" x14ac:dyDescent="0.35">
      <c r="B77" s="118"/>
      <c r="C77" s="820" t="s">
        <v>88</v>
      </c>
      <c r="D77" s="821"/>
      <c r="E77" s="821"/>
      <c r="F77" s="821"/>
      <c r="G77" s="809"/>
      <c r="H77" s="853"/>
      <c r="I77" s="853"/>
      <c r="J77" s="853"/>
      <c r="K77" s="853"/>
      <c r="L77" s="810"/>
      <c r="M77" s="126"/>
    </row>
    <row r="78" spans="2:16" ht="24" customHeight="1" x14ac:dyDescent="0.35">
      <c r="B78" s="118"/>
      <c r="C78" s="820" t="s">
        <v>776</v>
      </c>
      <c r="D78" s="821"/>
      <c r="E78" s="821"/>
      <c r="F78" s="821"/>
      <c r="G78" s="809"/>
      <c r="H78" s="853"/>
      <c r="I78" s="853"/>
      <c r="J78" s="853"/>
      <c r="K78" s="853"/>
      <c r="L78" s="810"/>
      <c r="M78" s="126"/>
      <c r="O78" s="260"/>
      <c r="P78" s="261"/>
    </row>
    <row r="79" spans="2:16" ht="24" customHeight="1" x14ac:dyDescent="0.35">
      <c r="B79" s="118"/>
      <c r="C79" s="820" t="s">
        <v>529</v>
      </c>
      <c r="D79" s="821"/>
      <c r="E79" s="821"/>
      <c r="F79" s="821"/>
      <c r="G79" s="809"/>
      <c r="H79" s="810"/>
      <c r="I79" s="225"/>
      <c r="J79" s="225"/>
      <c r="K79" s="225"/>
      <c r="L79" s="262"/>
      <c r="M79" s="126"/>
      <c r="O79" s="260"/>
    </row>
    <row r="80" spans="2:16" ht="24" customHeight="1" x14ac:dyDescent="0.35">
      <c r="B80" s="118"/>
      <c r="C80" s="820" t="s">
        <v>550</v>
      </c>
      <c r="D80" s="821"/>
      <c r="E80" s="821"/>
      <c r="F80" s="821"/>
      <c r="G80" s="809"/>
      <c r="H80" s="810"/>
      <c r="I80" s="225"/>
      <c r="J80" s="225"/>
      <c r="K80" s="225"/>
      <c r="L80" s="262"/>
      <c r="M80" s="126"/>
      <c r="O80" s="260"/>
    </row>
    <row r="81" spans="2:18" ht="24" customHeight="1" x14ac:dyDescent="0.35">
      <c r="B81" s="118"/>
      <c r="C81" s="820" t="s">
        <v>528</v>
      </c>
      <c r="D81" s="821"/>
      <c r="E81" s="821"/>
      <c r="F81" s="821"/>
      <c r="G81" s="809"/>
      <c r="H81" s="810"/>
      <c r="I81" s="732" t="str">
        <f>IF(G81="Autres","Précisez svp",IF(G81="Multilingues","Précisez svp",IF(G81="Autochtones","Précisez svp","")))</f>
        <v/>
      </c>
      <c r="J81" s="905"/>
      <c r="K81" s="905"/>
      <c r="L81" s="906"/>
      <c r="M81" s="126"/>
      <c r="O81" s="1005"/>
      <c r="P81" s="263" t="s">
        <v>368</v>
      </c>
    </row>
    <row r="82" spans="2:18" ht="28" customHeight="1" x14ac:dyDescent="0.35">
      <c r="B82" s="118"/>
      <c r="C82" s="820" t="s">
        <v>806</v>
      </c>
      <c r="D82" s="821"/>
      <c r="E82" s="821"/>
      <c r="F82" s="821"/>
      <c r="G82" s="818"/>
      <c r="H82" s="819"/>
      <c r="I82" s="264"/>
      <c r="J82" s="1003" t="str">
        <f>IF(AND(G82&lt;&gt;"",G85="")=TRUE,"N'oubliez pas d'inscrire la date du premier spectacle",
IF(AND(G82="",G85&lt;&gt;"")=TRUE,"N'oubliez pas d'inscrire la date de sortie du dernier album",
IF(G85="","",
IF($P$82="","",
IF($P$82&lt;-6,"La délai entre la première date de la tournée et la date de sortie de l'album étant trop long, la demande est inadmissible",
IF(AND($P$82&gt;=-6,$P$82&lt;=24)=TRUE,"",
IF(AND($P$82&gt;24,$P$82&lt;=36)=TRUE,"La demande est admissible pour les catégories jazz, classique et musique traditionnelle seulement",
IF($P$82&gt;36,"Le délai entre la date de sortie de l'album et le début de la tournée étant trop long, la demande est inadmissible"))))))))</f>
        <v/>
      </c>
      <c r="K82" s="1003"/>
      <c r="L82" s="1004"/>
      <c r="M82" s="126"/>
      <c r="O82" s="1005"/>
      <c r="P82" s="263">
        <f>(YEAR($G$85)-YEAR($G$82))*12+MONTH($G$85)-MONTH($G$82)</f>
        <v>0</v>
      </c>
    </row>
    <row r="83" spans="2:18" ht="67.5" customHeight="1" x14ac:dyDescent="0.35">
      <c r="B83" s="118"/>
      <c r="C83" s="901" t="s">
        <v>724</v>
      </c>
      <c r="D83" s="902"/>
      <c r="E83" s="902"/>
      <c r="F83" s="902"/>
      <c r="G83" s="908"/>
      <c r="H83" s="908"/>
      <c r="I83" s="129"/>
      <c r="J83" s="129"/>
      <c r="K83" s="129"/>
      <c r="L83" s="130"/>
      <c r="M83" s="126"/>
      <c r="O83" s="1005"/>
      <c r="P83" s="265">
        <f ca="1">TODAY()</f>
        <v>45224</v>
      </c>
    </row>
    <row r="84" spans="2:18" ht="10" customHeight="1" x14ac:dyDescent="0.35">
      <c r="B84" s="118"/>
      <c r="C84" s="224"/>
      <c r="D84" s="225"/>
      <c r="E84" s="225"/>
      <c r="F84" s="225"/>
      <c r="G84" s="129"/>
      <c r="H84" s="129"/>
      <c r="I84" s="129"/>
      <c r="J84" s="887" t="str">
        <f>IF(G85="","",IF(P84-P83&lt;28,"Malheureusement, votre demande étant soumise hors du délai de 28 jours avant le début de la tournée, elle n'est donc pas admissible",IF(P84-P83&gt;=28,"")))</f>
        <v/>
      </c>
      <c r="K84" s="887"/>
      <c r="L84" s="888"/>
      <c r="M84" s="126"/>
      <c r="O84" s="260"/>
      <c r="P84" s="265">
        <f>+G85</f>
        <v>0</v>
      </c>
    </row>
    <row r="85" spans="2:18" ht="28" customHeight="1" x14ac:dyDescent="0.35">
      <c r="B85" s="118"/>
      <c r="C85" s="820" t="s">
        <v>558</v>
      </c>
      <c r="D85" s="821"/>
      <c r="E85" s="821"/>
      <c r="F85" s="821"/>
      <c r="G85" s="818"/>
      <c r="H85" s="819"/>
      <c r="I85" s="266"/>
      <c r="J85" s="887"/>
      <c r="K85" s="887"/>
      <c r="L85" s="888"/>
      <c r="M85" s="126"/>
      <c r="P85" s="263"/>
    </row>
    <row r="86" spans="2:18" ht="28" customHeight="1" x14ac:dyDescent="0.35">
      <c r="B86" s="118"/>
      <c r="C86" s="820" t="s">
        <v>557</v>
      </c>
      <c r="D86" s="821"/>
      <c r="E86" s="821"/>
      <c r="F86" s="821"/>
      <c r="G86" s="818"/>
      <c r="H86" s="819"/>
      <c r="I86" s="266"/>
      <c r="J86" s="1006" t="str">
        <f>IF(J84="Malheureusement, votre demande étant soumise hors du délai de 20 jours ouvrables avant le début de la tournée, elle n'est donc pas admissible","",IF(J87="La date du dernier spectacle ne peut précéder la date du premier spectacle","",IF(G86="","","Date de remise du rapport final :")))</f>
        <v/>
      </c>
      <c r="K86" s="1006"/>
      <c r="L86" s="733" t="str">
        <f>IF(J87="La date du dernier spectacle ne peut précéder la date du premier spectacle","",IF(G86="","",P87))</f>
        <v/>
      </c>
      <c r="M86" s="126"/>
      <c r="P86" s="263"/>
    </row>
    <row r="87" spans="2:18" ht="28" customHeight="1" x14ac:dyDescent="0.35">
      <c r="B87" s="118"/>
      <c r="C87" s="224" t="s">
        <v>559</v>
      </c>
      <c r="D87" s="225"/>
      <c r="E87" s="225"/>
      <c r="F87" s="225"/>
      <c r="G87" s="809"/>
      <c r="H87" s="810"/>
      <c r="I87" s="266"/>
      <c r="J87" s="891" t="str">
        <f>IF(OR(G85="",G86=""),"",IF(G86&lt;G85,"La date du dernier spectacle ne peut précéder la date du premier spectacle",""))</f>
        <v/>
      </c>
      <c r="K87" s="891"/>
      <c r="L87" s="892"/>
      <c r="M87" s="126"/>
      <c r="P87" s="267">
        <f>IF(J84="Malheureusement, votre demande étant soumise hors du délai de 20 jours ouvrables avant le début de la tournée, elle n'est donc pas admissible","",G86+90)</f>
        <v>90</v>
      </c>
    </row>
    <row r="88" spans="2:18" ht="10" customHeight="1" x14ac:dyDescent="0.35">
      <c r="B88" s="118"/>
      <c r="C88" s="268"/>
      <c r="D88" s="269"/>
      <c r="E88" s="269"/>
      <c r="F88" s="270"/>
      <c r="G88" s="270"/>
      <c r="H88" s="270"/>
      <c r="I88" s="270"/>
      <c r="J88" s="270"/>
      <c r="K88" s="270"/>
      <c r="L88" s="271"/>
      <c r="M88" s="126"/>
    </row>
    <row r="89" spans="2:18" ht="10" customHeight="1" x14ac:dyDescent="0.35">
      <c r="B89" s="118"/>
      <c r="C89" s="136"/>
      <c r="D89" s="136"/>
      <c r="E89" s="136"/>
      <c r="F89" s="137"/>
      <c r="G89" s="138"/>
      <c r="H89" s="138"/>
      <c r="I89" s="138"/>
      <c r="J89" s="138"/>
      <c r="K89" s="138"/>
      <c r="L89" s="138"/>
      <c r="M89" s="126"/>
    </row>
    <row r="90" spans="2:18" ht="10" customHeight="1" x14ac:dyDescent="0.35">
      <c r="B90" s="118"/>
      <c r="C90" s="272"/>
      <c r="D90" s="273"/>
      <c r="E90" s="273"/>
      <c r="F90" s="274"/>
      <c r="G90" s="274"/>
      <c r="H90" s="274"/>
      <c r="I90" s="274"/>
      <c r="J90" s="274"/>
      <c r="K90" s="274"/>
      <c r="L90" s="275"/>
      <c r="M90" s="126"/>
    </row>
    <row r="91" spans="2:18" ht="26.5" customHeight="1" x14ac:dyDescent="0.35">
      <c r="B91" s="118"/>
      <c r="C91" s="911" t="s">
        <v>376</v>
      </c>
      <c r="D91" s="912"/>
      <c r="E91" s="912"/>
      <c r="F91" s="912"/>
      <c r="G91" s="912"/>
      <c r="H91" s="912"/>
      <c r="I91" s="912"/>
      <c r="J91" s="912"/>
      <c r="K91" s="912"/>
      <c r="L91" s="913"/>
      <c r="M91" s="126"/>
    </row>
    <row r="92" spans="2:18" ht="10" customHeight="1" x14ac:dyDescent="0.35">
      <c r="B92" s="118"/>
      <c r="C92" s="224"/>
      <c r="D92" s="225"/>
      <c r="E92" s="225"/>
      <c r="F92" s="266"/>
      <c r="G92" s="266"/>
      <c r="H92" s="266"/>
      <c r="I92" s="266"/>
      <c r="J92" s="266"/>
      <c r="K92" s="266"/>
      <c r="L92" s="276"/>
      <c r="M92" s="126"/>
    </row>
    <row r="93" spans="2:18" ht="24" customHeight="1" x14ac:dyDescent="0.35">
      <c r="B93" s="118"/>
      <c r="C93" s="816" t="s">
        <v>369</v>
      </c>
      <c r="D93" s="817"/>
      <c r="E93" s="817"/>
      <c r="F93" s="817"/>
      <c r="G93" s="809"/>
      <c r="H93" s="810"/>
      <c r="I93" s="266"/>
      <c r="J93" s="266"/>
      <c r="K93" s="266"/>
      <c r="L93" s="276"/>
      <c r="M93" s="126"/>
      <c r="P93" s="277"/>
    </row>
    <row r="94" spans="2:18" ht="24" customHeight="1" x14ac:dyDescent="0.35">
      <c r="B94" s="118"/>
      <c r="C94" s="816" t="s">
        <v>370</v>
      </c>
      <c r="D94" s="817"/>
      <c r="E94" s="817"/>
      <c r="F94" s="817"/>
      <c r="G94" s="809"/>
      <c r="H94" s="810"/>
      <c r="I94" s="266"/>
      <c r="J94" s="266"/>
      <c r="K94" s="266"/>
      <c r="L94" s="276"/>
      <c r="M94" s="126"/>
    </row>
    <row r="95" spans="2:18" ht="24" customHeight="1" x14ac:dyDescent="0.3">
      <c r="B95" s="118"/>
      <c r="C95" s="814" t="s">
        <v>519</v>
      </c>
      <c r="D95" s="815"/>
      <c r="E95" s="815"/>
      <c r="F95" s="815"/>
      <c r="G95" s="818"/>
      <c r="H95" s="819"/>
      <c r="I95" s="278"/>
      <c r="J95" s="889" t="str">
        <f>IF(G95="","",IF(AND(P83&gt;G95,G96="Non"),"Le contrat est arrivé à échéance sans clause de renouvellement automatique",""))</f>
        <v/>
      </c>
      <c r="K95" s="889"/>
      <c r="L95" s="890"/>
      <c r="M95" s="126"/>
      <c r="O95" s="1002"/>
      <c r="Q95" s="840"/>
      <c r="R95" s="840"/>
    </row>
    <row r="96" spans="2:18" ht="23.5" customHeight="1" x14ac:dyDescent="0.3">
      <c r="B96" s="118"/>
      <c r="C96" s="814" t="s">
        <v>530</v>
      </c>
      <c r="D96" s="815"/>
      <c r="E96" s="815"/>
      <c r="F96" s="815"/>
      <c r="G96" s="50"/>
      <c r="H96" s="278"/>
      <c r="I96" s="279"/>
      <c r="J96" s="889"/>
      <c r="K96" s="889"/>
      <c r="L96" s="890"/>
      <c r="M96" s="126"/>
      <c r="O96" s="1002"/>
    </row>
    <row r="97" spans="2:17" ht="10" customHeight="1" x14ac:dyDescent="0.3">
      <c r="B97" s="118"/>
      <c r="C97" s="159"/>
      <c r="D97" s="160"/>
      <c r="E97" s="160"/>
      <c r="F97" s="160"/>
      <c r="G97" s="280"/>
      <c r="H97" s="280"/>
      <c r="I97" s="280"/>
      <c r="J97" s="280"/>
      <c r="K97" s="280"/>
      <c r="L97" s="281"/>
      <c r="M97" s="126"/>
      <c r="O97" s="1002"/>
    </row>
    <row r="98" spans="2:17" ht="10" customHeight="1" x14ac:dyDescent="0.35">
      <c r="B98" s="118"/>
      <c r="C98" s="136"/>
      <c r="D98" s="136"/>
      <c r="E98" s="136"/>
      <c r="F98" s="137"/>
      <c r="G98" s="138"/>
      <c r="H98" s="138"/>
      <c r="I98" s="138"/>
      <c r="J98" s="138"/>
      <c r="K98" s="138"/>
      <c r="L98" s="138"/>
      <c r="M98" s="126"/>
      <c r="O98" s="1002"/>
    </row>
    <row r="99" spans="2:17" ht="10" customHeight="1" x14ac:dyDescent="0.3">
      <c r="B99" s="118"/>
      <c r="C99" s="147"/>
      <c r="D99" s="148"/>
      <c r="E99" s="148"/>
      <c r="F99" s="148"/>
      <c r="G99" s="282"/>
      <c r="H99" s="282"/>
      <c r="I99" s="282"/>
      <c r="J99" s="282"/>
      <c r="K99" s="282"/>
      <c r="L99" s="283"/>
      <c r="M99" s="126"/>
    </row>
    <row r="100" spans="2:17" ht="28" customHeight="1" x14ac:dyDescent="0.35">
      <c r="B100" s="118"/>
      <c r="C100" s="885" t="s">
        <v>455</v>
      </c>
      <c r="D100" s="886"/>
      <c r="E100" s="886"/>
      <c r="F100" s="886"/>
      <c r="G100" s="851" t="s">
        <v>456</v>
      </c>
      <c r="H100" s="851"/>
      <c r="I100" s="851"/>
      <c r="J100" s="851"/>
      <c r="K100" s="851" t="s">
        <v>375</v>
      </c>
      <c r="L100" s="852"/>
      <c r="M100" s="126"/>
      <c r="O100" s="124"/>
      <c r="P100" s="284"/>
      <c r="Q100" s="187"/>
    </row>
    <row r="101" spans="2:17" ht="26" customHeight="1" x14ac:dyDescent="0.35">
      <c r="B101" s="118"/>
      <c r="C101" s="880" t="s">
        <v>374</v>
      </c>
      <c r="D101" s="881"/>
      <c r="E101" s="881"/>
      <c r="F101" s="882"/>
      <c r="G101" s="809"/>
      <c r="H101" s="853"/>
      <c r="I101" s="853"/>
      <c r="J101" s="810"/>
      <c r="K101" s="809"/>
      <c r="L101" s="810"/>
      <c r="M101" s="126"/>
      <c r="O101" s="124"/>
      <c r="P101" s="284"/>
      <c r="Q101" s="187"/>
    </row>
    <row r="102" spans="2:17" ht="26" customHeight="1" x14ac:dyDescent="0.35">
      <c r="B102" s="118"/>
      <c r="C102" s="820"/>
      <c r="D102" s="821"/>
      <c r="E102" s="821"/>
      <c r="F102" s="883"/>
      <c r="G102" s="809"/>
      <c r="H102" s="853"/>
      <c r="I102" s="853"/>
      <c r="J102" s="810"/>
      <c r="K102" s="809"/>
      <c r="L102" s="810"/>
      <c r="M102" s="126"/>
      <c r="O102" s="124"/>
      <c r="P102" s="284"/>
      <c r="Q102" s="187"/>
    </row>
    <row r="103" spans="2:17" ht="26" customHeight="1" x14ac:dyDescent="0.35">
      <c r="B103" s="118"/>
      <c r="C103" s="820"/>
      <c r="D103" s="821"/>
      <c r="E103" s="821"/>
      <c r="F103" s="883"/>
      <c r="G103" s="809"/>
      <c r="H103" s="853"/>
      <c r="I103" s="853"/>
      <c r="J103" s="810"/>
      <c r="K103" s="809"/>
      <c r="L103" s="810"/>
      <c r="M103" s="126"/>
      <c r="O103" s="124"/>
      <c r="P103" s="284"/>
      <c r="Q103" s="187"/>
    </row>
    <row r="104" spans="2:17" ht="10" customHeight="1" x14ac:dyDescent="0.35">
      <c r="B104" s="118"/>
      <c r="C104" s="224"/>
      <c r="D104" s="225"/>
      <c r="E104" s="225"/>
      <c r="F104" s="225"/>
      <c r="G104" s="225"/>
      <c r="H104" s="225"/>
      <c r="I104" s="225"/>
      <c r="J104" s="225"/>
      <c r="K104" s="225"/>
      <c r="L104" s="262"/>
      <c r="M104" s="126"/>
      <c r="O104" s="124"/>
      <c r="P104" s="284"/>
      <c r="Q104" s="187"/>
    </row>
    <row r="105" spans="2:17" ht="26" customHeight="1" x14ac:dyDescent="0.35">
      <c r="B105" s="118"/>
      <c r="C105" s="880" t="s">
        <v>371</v>
      </c>
      <c r="D105" s="881"/>
      <c r="E105" s="881"/>
      <c r="F105" s="882"/>
      <c r="G105" s="809"/>
      <c r="H105" s="853"/>
      <c r="I105" s="853"/>
      <c r="J105" s="810"/>
      <c r="K105" s="809"/>
      <c r="L105" s="810"/>
      <c r="M105" s="126"/>
      <c r="O105" s="124"/>
      <c r="P105" s="284"/>
      <c r="Q105" s="187"/>
    </row>
    <row r="106" spans="2:17" ht="26" customHeight="1" x14ac:dyDescent="0.35">
      <c r="B106" s="118"/>
      <c r="C106" s="820"/>
      <c r="D106" s="821"/>
      <c r="E106" s="821"/>
      <c r="F106" s="883"/>
      <c r="G106" s="809"/>
      <c r="H106" s="853"/>
      <c r="I106" s="853"/>
      <c r="J106" s="810"/>
      <c r="K106" s="809"/>
      <c r="L106" s="810"/>
      <c r="M106" s="126"/>
      <c r="O106" s="124"/>
      <c r="P106" s="284"/>
      <c r="Q106" s="187"/>
    </row>
    <row r="107" spans="2:17" ht="10" customHeight="1" x14ac:dyDescent="0.35">
      <c r="B107" s="118"/>
      <c r="C107" s="224"/>
      <c r="D107" s="225"/>
      <c r="E107" s="225"/>
      <c r="F107" s="225"/>
      <c r="G107" s="225"/>
      <c r="H107" s="225"/>
      <c r="I107" s="225"/>
      <c r="J107" s="225"/>
      <c r="K107" s="225"/>
      <c r="L107" s="262"/>
      <c r="M107" s="126"/>
      <c r="O107" s="124"/>
      <c r="P107" s="284"/>
      <c r="Q107" s="187"/>
    </row>
    <row r="108" spans="2:17" ht="26" customHeight="1" x14ac:dyDescent="0.35">
      <c r="B108" s="118"/>
      <c r="C108" s="880" t="s">
        <v>360</v>
      </c>
      <c r="D108" s="881"/>
      <c r="E108" s="881"/>
      <c r="F108" s="882"/>
      <c r="G108" s="809"/>
      <c r="H108" s="853"/>
      <c r="I108" s="853"/>
      <c r="J108" s="810"/>
      <c r="K108" s="809"/>
      <c r="L108" s="810"/>
      <c r="M108" s="126"/>
      <c r="O108" s="124"/>
      <c r="P108" s="284"/>
      <c r="Q108" s="187"/>
    </row>
    <row r="109" spans="2:17" ht="26" customHeight="1" x14ac:dyDescent="0.35">
      <c r="B109" s="118"/>
      <c r="C109" s="820"/>
      <c r="D109" s="821"/>
      <c r="E109" s="821"/>
      <c r="F109" s="883"/>
      <c r="G109" s="809"/>
      <c r="H109" s="853"/>
      <c r="I109" s="853"/>
      <c r="J109" s="810"/>
      <c r="K109" s="809"/>
      <c r="L109" s="810"/>
      <c r="M109" s="126"/>
      <c r="O109" s="124"/>
      <c r="P109" s="284"/>
      <c r="Q109" s="187"/>
    </row>
    <row r="110" spans="2:17" ht="26" customHeight="1" x14ac:dyDescent="0.35">
      <c r="B110" s="118"/>
      <c r="C110" s="820"/>
      <c r="D110" s="821"/>
      <c r="E110" s="821"/>
      <c r="F110" s="883"/>
      <c r="G110" s="809"/>
      <c r="H110" s="853"/>
      <c r="I110" s="853"/>
      <c r="J110" s="810"/>
      <c r="K110" s="809"/>
      <c r="L110" s="810"/>
      <c r="M110" s="126"/>
      <c r="O110" s="124"/>
      <c r="P110" s="284"/>
      <c r="Q110" s="187"/>
    </row>
    <row r="111" spans="2:17" ht="10" customHeight="1" x14ac:dyDescent="0.35">
      <c r="B111" s="118"/>
      <c r="C111" s="224"/>
      <c r="D111" s="225"/>
      <c r="E111" s="225"/>
      <c r="F111" s="225"/>
      <c r="G111" s="225"/>
      <c r="H111" s="225"/>
      <c r="I111" s="225"/>
      <c r="J111" s="225"/>
      <c r="K111" s="225"/>
      <c r="L111" s="262"/>
      <c r="M111" s="126"/>
      <c r="O111" s="124"/>
      <c r="P111" s="284"/>
      <c r="Q111" s="187"/>
    </row>
    <row r="112" spans="2:17" ht="26" customHeight="1" x14ac:dyDescent="0.35">
      <c r="B112" s="118"/>
      <c r="C112" s="880" t="s">
        <v>372</v>
      </c>
      <c r="D112" s="881"/>
      <c r="E112" s="881"/>
      <c r="F112" s="882"/>
      <c r="G112" s="809"/>
      <c r="H112" s="853"/>
      <c r="I112" s="853"/>
      <c r="J112" s="810"/>
      <c r="K112" s="809"/>
      <c r="L112" s="810"/>
      <c r="M112" s="126"/>
      <c r="O112" s="124"/>
      <c r="P112" s="284"/>
      <c r="Q112" s="187"/>
    </row>
    <row r="113" spans="2:17" ht="26" customHeight="1" x14ac:dyDescent="0.35">
      <c r="B113" s="118"/>
      <c r="C113" s="820"/>
      <c r="D113" s="821"/>
      <c r="E113" s="821"/>
      <c r="F113" s="883"/>
      <c r="G113" s="809"/>
      <c r="H113" s="853"/>
      <c r="I113" s="853"/>
      <c r="J113" s="810"/>
      <c r="K113" s="809"/>
      <c r="L113" s="810"/>
      <c r="M113" s="126"/>
      <c r="O113" s="124"/>
      <c r="P113" s="284"/>
      <c r="Q113" s="187"/>
    </row>
    <row r="114" spans="2:17" ht="26" customHeight="1" x14ac:dyDescent="0.35">
      <c r="B114" s="118"/>
      <c r="C114" s="820"/>
      <c r="D114" s="821"/>
      <c r="E114" s="821"/>
      <c r="F114" s="883"/>
      <c r="G114" s="809"/>
      <c r="H114" s="853"/>
      <c r="I114" s="853"/>
      <c r="J114" s="810"/>
      <c r="K114" s="809"/>
      <c r="L114" s="810"/>
      <c r="M114" s="126"/>
      <c r="O114" s="124"/>
      <c r="P114" s="284"/>
      <c r="Q114" s="187"/>
    </row>
    <row r="115" spans="2:17" ht="10" customHeight="1" x14ac:dyDescent="0.35">
      <c r="B115" s="118"/>
      <c r="C115" s="224"/>
      <c r="D115" s="225"/>
      <c r="E115" s="225"/>
      <c r="F115" s="225"/>
      <c r="G115" s="225"/>
      <c r="H115" s="225"/>
      <c r="I115" s="225"/>
      <c r="J115" s="225"/>
      <c r="K115" s="225"/>
      <c r="L115" s="262"/>
      <c r="M115" s="126"/>
      <c r="O115" s="124"/>
      <c r="P115" s="284"/>
      <c r="Q115" s="187"/>
    </row>
    <row r="116" spans="2:17" ht="26" customHeight="1" x14ac:dyDescent="0.35">
      <c r="B116" s="118"/>
      <c r="C116" s="880" t="s">
        <v>373</v>
      </c>
      <c r="D116" s="881"/>
      <c r="E116" s="881"/>
      <c r="F116" s="882"/>
      <c r="G116" s="809"/>
      <c r="H116" s="853"/>
      <c r="I116" s="853"/>
      <c r="J116" s="810"/>
      <c r="K116" s="809"/>
      <c r="L116" s="810"/>
      <c r="M116" s="126"/>
      <c r="O116" s="124"/>
      <c r="P116" s="284"/>
      <c r="Q116" s="187"/>
    </row>
    <row r="117" spans="2:17" ht="26" customHeight="1" x14ac:dyDescent="0.35">
      <c r="B117" s="118"/>
      <c r="C117" s="820"/>
      <c r="D117" s="821"/>
      <c r="E117" s="821"/>
      <c r="F117" s="883"/>
      <c r="G117" s="809"/>
      <c r="H117" s="853"/>
      <c r="I117" s="853"/>
      <c r="J117" s="810"/>
      <c r="K117" s="809"/>
      <c r="L117" s="810"/>
      <c r="M117" s="126"/>
      <c r="O117" s="124"/>
      <c r="P117" s="284"/>
      <c r="Q117" s="187"/>
    </row>
    <row r="118" spans="2:17" ht="10" customHeight="1" x14ac:dyDescent="0.35">
      <c r="B118" s="118"/>
      <c r="C118" s="224"/>
      <c r="D118" s="225"/>
      <c r="E118" s="225"/>
      <c r="F118" s="225"/>
      <c r="G118" s="225"/>
      <c r="H118" s="225"/>
      <c r="I118" s="225"/>
      <c r="J118" s="225"/>
      <c r="K118" s="225"/>
      <c r="L118" s="262"/>
      <c r="M118" s="126"/>
      <c r="O118" s="124"/>
      <c r="P118" s="284"/>
      <c r="Q118" s="187"/>
    </row>
    <row r="119" spans="2:17" ht="26" customHeight="1" x14ac:dyDescent="0.35">
      <c r="B119" s="118"/>
      <c r="C119" s="880" t="s">
        <v>682</v>
      </c>
      <c r="D119" s="881"/>
      <c r="E119" s="881"/>
      <c r="F119" s="882"/>
      <c r="G119" s="809"/>
      <c r="H119" s="853"/>
      <c r="I119" s="853"/>
      <c r="J119" s="810"/>
      <c r="K119" s="809"/>
      <c r="L119" s="810"/>
      <c r="M119" s="126"/>
      <c r="O119" s="124"/>
      <c r="P119" s="284"/>
      <c r="Q119" s="187"/>
    </row>
    <row r="120" spans="2:17" ht="26" customHeight="1" x14ac:dyDescent="0.35">
      <c r="B120" s="118"/>
      <c r="C120" s="820"/>
      <c r="D120" s="821"/>
      <c r="E120" s="821"/>
      <c r="F120" s="883"/>
      <c r="G120" s="809"/>
      <c r="H120" s="853"/>
      <c r="I120" s="853"/>
      <c r="J120" s="810"/>
      <c r="K120" s="809"/>
      <c r="L120" s="810"/>
      <c r="M120" s="126"/>
      <c r="O120" s="124"/>
      <c r="P120" s="284"/>
      <c r="Q120" s="187"/>
    </row>
    <row r="121" spans="2:17" ht="26" customHeight="1" x14ac:dyDescent="0.35">
      <c r="B121" s="118"/>
      <c r="C121" s="127"/>
      <c r="D121" s="128"/>
      <c r="E121" s="128"/>
      <c r="F121" s="285"/>
      <c r="G121" s="809"/>
      <c r="H121" s="853"/>
      <c r="I121" s="853"/>
      <c r="J121" s="810"/>
      <c r="K121" s="809"/>
      <c r="L121" s="810"/>
      <c r="M121" s="126"/>
      <c r="O121" s="124"/>
      <c r="P121" s="284"/>
      <c r="Q121" s="187"/>
    </row>
    <row r="122" spans="2:17" ht="23" customHeight="1" x14ac:dyDescent="0.35">
      <c r="B122" s="118"/>
      <c r="C122" s="224"/>
      <c r="D122" s="884" t="s">
        <v>640</v>
      </c>
      <c r="E122" s="884"/>
      <c r="F122" s="884"/>
      <c r="G122" s="225"/>
      <c r="H122" s="225"/>
      <c r="I122" s="225"/>
      <c r="J122" s="225"/>
      <c r="K122" s="225"/>
      <c r="L122" s="262"/>
      <c r="M122" s="126"/>
      <c r="O122" s="124"/>
      <c r="P122" s="284"/>
      <c r="Q122" s="187"/>
    </row>
    <row r="123" spans="2:17" ht="26" customHeight="1" x14ac:dyDescent="0.35">
      <c r="B123" s="118"/>
      <c r="C123" s="286"/>
      <c r="D123" s="859"/>
      <c r="E123" s="860"/>
      <c r="F123" s="861"/>
      <c r="G123" s="809"/>
      <c r="H123" s="853"/>
      <c r="I123" s="853"/>
      <c r="J123" s="810"/>
      <c r="K123" s="809"/>
      <c r="L123" s="810"/>
      <c r="M123" s="126"/>
      <c r="O123" s="124"/>
      <c r="P123" s="284"/>
      <c r="Q123" s="187"/>
    </row>
    <row r="124" spans="2:17" ht="26" customHeight="1" x14ac:dyDescent="0.35">
      <c r="B124" s="118"/>
      <c r="C124" s="286"/>
      <c r="D124" s="859"/>
      <c r="E124" s="860"/>
      <c r="F124" s="861"/>
      <c r="G124" s="809"/>
      <c r="H124" s="853"/>
      <c r="I124" s="853"/>
      <c r="J124" s="810"/>
      <c r="K124" s="809"/>
      <c r="L124" s="810"/>
      <c r="M124" s="126"/>
      <c r="O124" s="124"/>
      <c r="P124" s="284"/>
      <c r="Q124" s="187"/>
    </row>
    <row r="125" spans="2:17" ht="10" customHeight="1" x14ac:dyDescent="0.3">
      <c r="B125" s="118"/>
      <c r="C125" s="159"/>
      <c r="D125" s="160"/>
      <c r="E125" s="160"/>
      <c r="F125" s="160"/>
      <c r="G125" s="280"/>
      <c r="H125" s="280"/>
      <c r="I125" s="280"/>
      <c r="J125" s="280"/>
      <c r="K125" s="280"/>
      <c r="L125" s="281"/>
      <c r="M125" s="126"/>
    </row>
    <row r="126" spans="2:17" ht="10" customHeight="1" x14ac:dyDescent="0.35">
      <c r="B126" s="118"/>
      <c r="C126" s="136"/>
      <c r="D126" s="136"/>
      <c r="E126" s="136"/>
      <c r="F126" s="137"/>
      <c r="G126" s="138"/>
      <c r="H126" s="138"/>
      <c r="I126" s="138"/>
      <c r="J126" s="138"/>
      <c r="K126" s="138"/>
      <c r="L126" s="138"/>
      <c r="M126" s="126"/>
    </row>
    <row r="127" spans="2:17" ht="10" customHeight="1" x14ac:dyDescent="0.3">
      <c r="B127" s="118"/>
      <c r="C127" s="147"/>
      <c r="D127" s="148"/>
      <c r="E127" s="148"/>
      <c r="F127" s="148"/>
      <c r="G127" s="282"/>
      <c r="H127" s="282"/>
      <c r="I127" s="282"/>
      <c r="J127" s="282"/>
      <c r="K127" s="282"/>
      <c r="L127" s="283"/>
      <c r="M127" s="126"/>
    </row>
    <row r="128" spans="2:17" ht="174" customHeight="1" x14ac:dyDescent="0.35">
      <c r="B128" s="118"/>
      <c r="C128" s="932" t="s">
        <v>377</v>
      </c>
      <c r="D128" s="933"/>
      <c r="E128" s="933"/>
      <c r="F128" s="933"/>
      <c r="G128" s="929"/>
      <c r="H128" s="930"/>
      <c r="I128" s="930"/>
      <c r="J128" s="930"/>
      <c r="K128" s="930"/>
      <c r="L128" s="931"/>
      <c r="M128" s="126"/>
    </row>
    <row r="129" spans="2:13" ht="10" customHeight="1" x14ac:dyDescent="0.35">
      <c r="B129" s="118"/>
      <c r="C129" s="287"/>
      <c r="D129" s="288"/>
      <c r="E129" s="288"/>
      <c r="F129" s="288"/>
      <c r="G129" s="289"/>
      <c r="H129" s="289"/>
      <c r="I129" s="289"/>
      <c r="J129" s="289"/>
      <c r="K129" s="289"/>
      <c r="L129" s="290"/>
      <c r="M129" s="126"/>
    </row>
    <row r="130" spans="2:13" ht="40" customHeight="1" x14ac:dyDescent="0.35">
      <c r="B130" s="118"/>
      <c r="C130" s="932" t="s">
        <v>402</v>
      </c>
      <c r="D130" s="933"/>
      <c r="E130" s="933"/>
      <c r="F130" s="291" t="s">
        <v>457</v>
      </c>
      <c r="G130" s="928"/>
      <c r="H130" s="928"/>
      <c r="I130" s="928"/>
      <c r="J130" s="928"/>
      <c r="K130" s="928"/>
      <c r="L130" s="928"/>
      <c r="M130" s="126"/>
    </row>
    <row r="131" spans="2:13" ht="40" customHeight="1" x14ac:dyDescent="0.35">
      <c r="B131" s="118"/>
      <c r="C131" s="938" t="s">
        <v>824</v>
      </c>
      <c r="D131" s="939"/>
      <c r="E131" s="939"/>
      <c r="F131" s="291" t="s">
        <v>458</v>
      </c>
      <c r="G131" s="928"/>
      <c r="H131" s="928"/>
      <c r="I131" s="928"/>
      <c r="J131" s="928"/>
      <c r="K131" s="928"/>
      <c r="L131" s="928"/>
      <c r="M131" s="126"/>
    </row>
    <row r="132" spans="2:13" ht="40" customHeight="1" x14ac:dyDescent="0.35">
      <c r="B132" s="118"/>
      <c r="C132" s="938"/>
      <c r="D132" s="939"/>
      <c r="E132" s="939"/>
      <c r="F132" s="291" t="s">
        <v>459</v>
      </c>
      <c r="G132" s="928"/>
      <c r="H132" s="928"/>
      <c r="I132" s="928"/>
      <c r="J132" s="928"/>
      <c r="K132" s="928"/>
      <c r="L132" s="928"/>
      <c r="M132" s="126"/>
    </row>
    <row r="133" spans="2:13" ht="40" customHeight="1" x14ac:dyDescent="0.35">
      <c r="B133" s="118"/>
      <c r="C133" s="292"/>
      <c r="D133" s="293"/>
      <c r="E133" s="293"/>
      <c r="F133" s="291" t="s">
        <v>460</v>
      </c>
      <c r="G133" s="928"/>
      <c r="H133" s="928"/>
      <c r="I133" s="928"/>
      <c r="J133" s="928"/>
      <c r="K133" s="928"/>
      <c r="L133" s="928"/>
      <c r="M133" s="126"/>
    </row>
    <row r="134" spans="2:13" ht="40" customHeight="1" x14ac:dyDescent="0.35">
      <c r="B134" s="118"/>
      <c r="C134" s="292"/>
      <c r="D134" s="293"/>
      <c r="E134" s="293"/>
      <c r="F134" s="291" t="s">
        <v>461</v>
      </c>
      <c r="G134" s="928"/>
      <c r="H134" s="928"/>
      <c r="I134" s="928"/>
      <c r="J134" s="928"/>
      <c r="K134" s="928"/>
      <c r="L134" s="928"/>
      <c r="M134" s="126"/>
    </row>
    <row r="135" spans="2:13" ht="14.15" customHeight="1" x14ac:dyDescent="0.3">
      <c r="B135" s="118"/>
      <c r="C135" s="152"/>
      <c r="D135" s="153"/>
      <c r="E135" s="153"/>
      <c r="F135" s="153"/>
      <c r="G135" s="279"/>
      <c r="H135" s="279"/>
      <c r="I135" s="279"/>
      <c r="J135" s="279"/>
      <c r="K135" s="279"/>
      <c r="L135" s="294"/>
      <c r="M135" s="126"/>
    </row>
    <row r="136" spans="2:13" ht="14.15" customHeight="1" x14ac:dyDescent="0.3">
      <c r="B136" s="118"/>
      <c r="C136" s="152"/>
      <c r="D136" s="153"/>
      <c r="E136" s="153"/>
      <c r="F136" s="153"/>
      <c r="G136" s="279"/>
      <c r="H136" s="279"/>
      <c r="I136" s="279"/>
      <c r="J136" s="279"/>
      <c r="K136" s="279"/>
      <c r="L136" s="294"/>
      <c r="M136" s="126"/>
    </row>
    <row r="137" spans="2:13" ht="34.5" customHeight="1" x14ac:dyDescent="0.3">
      <c r="B137" s="118"/>
      <c r="C137" s="814" t="s">
        <v>638</v>
      </c>
      <c r="D137" s="815"/>
      <c r="E137" s="815"/>
      <c r="F137" s="815"/>
      <c r="G137" s="50"/>
      <c r="H137" s="279"/>
      <c r="I137" s="279"/>
      <c r="J137" s="815"/>
      <c r="K137" s="815"/>
      <c r="L137" s="295"/>
      <c r="M137" s="126"/>
    </row>
    <row r="138" spans="2:13" ht="14.15" customHeight="1" x14ac:dyDescent="0.3">
      <c r="B138" s="118"/>
      <c r="C138" s="152"/>
      <c r="D138" s="153"/>
      <c r="E138" s="153"/>
      <c r="F138" s="153"/>
      <c r="G138" s="279"/>
      <c r="H138" s="279"/>
      <c r="I138" s="279"/>
      <c r="J138" s="279"/>
      <c r="K138" s="279"/>
      <c r="L138" s="294"/>
      <c r="M138" s="126"/>
    </row>
    <row r="139" spans="2:13" ht="55.5" customHeight="1" x14ac:dyDescent="0.35">
      <c r="B139" s="118"/>
      <c r="C139" s="923" t="str">
        <f>IF(G137="oui","* Cette tournée constitue une première incursion sur le territoire, expliquez pourquoi celui-ci a été ciblé",IF(G137="non","* Indiquer la date de la dernière tournée de l'artiste sur le ou les territoires visés",""))</f>
        <v/>
      </c>
      <c r="D139" s="924"/>
      <c r="E139" s="924"/>
      <c r="F139" s="924"/>
      <c r="G139" s="925"/>
      <c r="H139" s="926"/>
      <c r="I139" s="926"/>
      <c r="J139" s="926"/>
      <c r="K139" s="926"/>
      <c r="L139" s="927"/>
      <c r="M139" s="126"/>
    </row>
    <row r="140" spans="2:13" ht="10" customHeight="1" x14ac:dyDescent="0.3">
      <c r="B140" s="118"/>
      <c r="C140" s="152"/>
      <c r="D140" s="153"/>
      <c r="E140" s="153"/>
      <c r="F140" s="153"/>
      <c r="G140" s="153"/>
      <c r="H140" s="153"/>
      <c r="I140" s="279"/>
      <c r="J140" s="279"/>
      <c r="K140" s="279"/>
      <c r="L140" s="294"/>
      <c r="M140" s="126"/>
    </row>
    <row r="141" spans="2:13" ht="49" customHeight="1" x14ac:dyDescent="0.3">
      <c r="B141" s="118"/>
      <c r="C141" s="814" t="s">
        <v>503</v>
      </c>
      <c r="D141" s="815"/>
      <c r="E141" s="815"/>
      <c r="F141" s="815"/>
      <c r="G141" s="50"/>
      <c r="H141" s="735" t="str">
        <f>IF(F141="Oui","De quelle activité s'agit-il?","")</f>
        <v/>
      </c>
      <c r="I141" s="734" t="str">
        <f>IF(G141="Oui","De quelle activité s'agit-il?","")</f>
        <v/>
      </c>
      <c r="J141" s="936"/>
      <c r="K141" s="936"/>
      <c r="L141" s="937"/>
      <c r="M141" s="126"/>
    </row>
    <row r="142" spans="2:13" ht="60" customHeight="1" x14ac:dyDescent="0.35">
      <c r="B142" s="118"/>
      <c r="C142" s="814"/>
      <c r="D142" s="815"/>
      <c r="E142" s="815"/>
      <c r="F142" s="815"/>
      <c r="G142" s="153"/>
      <c r="H142" s="153"/>
      <c r="I142" s="734" t="str">
        <f>IF(G141="oui","En quelle année a eu lieu cette activité?","")</f>
        <v/>
      </c>
      <c r="J142" s="936"/>
      <c r="K142" s="936"/>
      <c r="L142" s="937"/>
      <c r="M142" s="126"/>
    </row>
    <row r="143" spans="2:13" ht="44.5" customHeight="1" x14ac:dyDescent="0.35">
      <c r="B143" s="118"/>
      <c r="C143" s="152"/>
      <c r="D143" s="153"/>
      <c r="E143" s="153"/>
      <c r="F143" s="153"/>
      <c r="G143" s="153"/>
      <c r="H143" s="153"/>
      <c r="I143" s="734" t="str">
        <f>IF(G141="Oui","Décrivez en quelques mots","")</f>
        <v/>
      </c>
      <c r="J143" s="936"/>
      <c r="K143" s="936"/>
      <c r="L143" s="937"/>
      <c r="M143" s="126"/>
    </row>
    <row r="144" spans="2:13" ht="10" customHeight="1" x14ac:dyDescent="0.3">
      <c r="B144" s="118"/>
      <c r="C144" s="152"/>
      <c r="D144" s="153"/>
      <c r="E144" s="153"/>
      <c r="F144" s="153"/>
      <c r="G144" s="153"/>
      <c r="H144" s="153"/>
      <c r="I144" s="279"/>
      <c r="J144" s="279"/>
      <c r="K144" s="279"/>
      <c r="L144" s="294"/>
      <c r="M144" s="126"/>
    </row>
    <row r="145" spans="2:14" ht="40" customHeight="1" x14ac:dyDescent="0.35">
      <c r="B145" s="118"/>
      <c r="C145" s="932" t="s">
        <v>392</v>
      </c>
      <c r="D145" s="933"/>
      <c r="E145" s="933"/>
      <c r="F145" s="933"/>
      <c r="G145" s="928"/>
      <c r="H145" s="928"/>
      <c r="I145" s="928"/>
      <c r="J145" s="928"/>
      <c r="K145" s="928"/>
      <c r="L145" s="928"/>
      <c r="M145" s="126"/>
    </row>
    <row r="146" spans="2:14" ht="40" customHeight="1" x14ac:dyDescent="0.35">
      <c r="B146" s="118"/>
      <c r="C146" s="287"/>
      <c r="D146" s="288"/>
      <c r="E146" s="288"/>
      <c r="F146" s="288"/>
      <c r="G146" s="928"/>
      <c r="H146" s="928"/>
      <c r="I146" s="928"/>
      <c r="J146" s="928"/>
      <c r="K146" s="928"/>
      <c r="L146" s="928"/>
      <c r="M146" s="126"/>
    </row>
    <row r="147" spans="2:14" ht="40" customHeight="1" x14ac:dyDescent="0.35">
      <c r="B147" s="118"/>
      <c r="C147" s="287"/>
      <c r="D147" s="288"/>
      <c r="E147" s="288"/>
      <c r="F147" s="288"/>
      <c r="G147" s="928"/>
      <c r="H147" s="928"/>
      <c r="I147" s="928"/>
      <c r="J147" s="928"/>
      <c r="K147" s="928"/>
      <c r="L147" s="928"/>
      <c r="M147" s="126"/>
    </row>
    <row r="148" spans="2:14" ht="40" customHeight="1" x14ac:dyDescent="0.35">
      <c r="B148" s="118"/>
      <c r="C148" s="287"/>
      <c r="D148" s="288"/>
      <c r="E148" s="288"/>
      <c r="F148" s="288"/>
      <c r="G148" s="928"/>
      <c r="H148" s="928"/>
      <c r="I148" s="928"/>
      <c r="J148" s="928"/>
      <c r="K148" s="928"/>
      <c r="L148" s="928"/>
      <c r="M148" s="126"/>
    </row>
    <row r="149" spans="2:14" ht="40" customHeight="1" x14ac:dyDescent="0.35">
      <c r="B149" s="118"/>
      <c r="C149" s="287"/>
      <c r="D149" s="288"/>
      <c r="E149" s="288"/>
      <c r="F149" s="288"/>
      <c r="G149" s="928"/>
      <c r="H149" s="928"/>
      <c r="I149" s="928"/>
      <c r="J149" s="928"/>
      <c r="K149" s="928"/>
      <c r="L149" s="928"/>
      <c r="M149" s="126"/>
    </row>
    <row r="150" spans="2:14" ht="10" customHeight="1" x14ac:dyDescent="0.35">
      <c r="B150" s="118"/>
      <c r="C150" s="152"/>
      <c r="D150" s="153"/>
      <c r="E150" s="153"/>
      <c r="F150" s="153"/>
      <c r="G150" s="154"/>
      <c r="H150" s="154"/>
      <c r="I150" s="154"/>
      <c r="J150" s="154"/>
      <c r="K150" s="154"/>
      <c r="L150" s="155"/>
      <c r="M150" s="126"/>
    </row>
    <row r="151" spans="2:14" ht="35.5" customHeight="1" x14ac:dyDescent="0.35">
      <c r="B151" s="118"/>
      <c r="C151" s="932" t="s">
        <v>699</v>
      </c>
      <c r="D151" s="933"/>
      <c r="E151" s="933"/>
      <c r="F151" s="933"/>
      <c r="G151" s="854"/>
      <c r="H151" s="854"/>
      <c r="I151" s="854"/>
      <c r="J151" s="854"/>
      <c r="K151" s="854"/>
      <c r="L151" s="854"/>
      <c r="M151" s="126"/>
    </row>
    <row r="152" spans="2:14" ht="10" customHeight="1" x14ac:dyDescent="0.35">
      <c r="B152" s="118"/>
      <c r="C152" s="159"/>
      <c r="D152" s="160"/>
      <c r="E152" s="160"/>
      <c r="F152" s="160"/>
      <c r="G152" s="139"/>
      <c r="H152" s="139"/>
      <c r="I152" s="139"/>
      <c r="J152" s="139"/>
      <c r="K152" s="160"/>
      <c r="L152" s="296"/>
      <c r="M152" s="126"/>
    </row>
    <row r="153" spans="2:14" ht="10" customHeight="1" thickBot="1" x14ac:dyDescent="0.4">
      <c r="B153" s="207"/>
      <c r="C153" s="297"/>
      <c r="D153" s="297"/>
      <c r="E153" s="297"/>
      <c r="F153" s="297"/>
      <c r="G153" s="297"/>
      <c r="H153" s="297"/>
      <c r="I153" s="297"/>
      <c r="J153" s="297"/>
      <c r="K153" s="297"/>
      <c r="L153" s="297"/>
      <c r="M153" s="196"/>
      <c r="N153" s="197"/>
    </row>
    <row r="154" spans="2:14" ht="14.15" customHeight="1" thickBot="1" x14ac:dyDescent="0.4">
      <c r="C154" s="252"/>
      <c r="D154" s="252"/>
      <c r="E154" s="252"/>
      <c r="F154" s="186"/>
      <c r="G154" s="124"/>
      <c r="H154" s="124"/>
    </row>
    <row r="155" spans="2:14" ht="10" customHeight="1" x14ac:dyDescent="0.35">
      <c r="B155" s="111"/>
      <c r="C155" s="249"/>
      <c r="D155" s="249"/>
      <c r="E155" s="249"/>
      <c r="F155" s="250"/>
      <c r="G155" s="114"/>
      <c r="H155" s="114"/>
      <c r="I155" s="115"/>
      <c r="J155" s="115"/>
      <c r="K155" s="115"/>
      <c r="L155" s="115"/>
      <c r="M155" s="201"/>
    </row>
    <row r="156" spans="2:14" ht="26.15" customHeight="1" x14ac:dyDescent="0.35">
      <c r="B156" s="118"/>
      <c r="C156" s="844" t="s">
        <v>393</v>
      </c>
      <c r="D156" s="844"/>
      <c r="E156" s="844"/>
      <c r="F156" s="844"/>
      <c r="G156" s="844"/>
      <c r="H156" s="844"/>
      <c r="I156" s="844"/>
      <c r="J156" s="844"/>
      <c r="K156" s="844"/>
      <c r="L156" s="844"/>
      <c r="M156" s="126"/>
    </row>
    <row r="157" spans="2:14" ht="10" customHeight="1" x14ac:dyDescent="0.35">
      <c r="B157" s="118"/>
      <c r="C157" s="252"/>
      <c r="D157" s="252"/>
      <c r="E157" s="252"/>
      <c r="F157" s="186"/>
      <c r="G157" s="138"/>
      <c r="H157" s="138"/>
      <c r="I157" s="138"/>
      <c r="J157" s="138"/>
      <c r="K157" s="138"/>
      <c r="L157" s="138"/>
      <c r="M157" s="126"/>
    </row>
    <row r="158" spans="2:14" ht="22" customHeight="1" x14ac:dyDescent="0.35">
      <c r="B158" s="118"/>
      <c r="C158" s="251" t="s">
        <v>64</v>
      </c>
      <c r="D158" s="252"/>
      <c r="E158" s="252"/>
      <c r="F158" s="186"/>
      <c r="G158" s="138"/>
      <c r="H158" s="138"/>
      <c r="I158" s="138"/>
      <c r="J158" s="138"/>
      <c r="K158" s="138"/>
      <c r="L158" s="138"/>
      <c r="M158" s="126"/>
    </row>
    <row r="159" spans="2:14" ht="22" customHeight="1" x14ac:dyDescent="0.35">
      <c r="B159" s="118"/>
      <c r="C159" s="846" t="s">
        <v>509</v>
      </c>
      <c r="D159" s="846"/>
      <c r="E159" s="846"/>
      <c r="F159" s="846"/>
      <c r="G159" s="846"/>
      <c r="H159" s="846"/>
      <c r="I159" s="846"/>
      <c r="J159" s="846"/>
      <c r="K159" s="846"/>
      <c r="L159" s="846"/>
      <c r="M159" s="126"/>
    </row>
    <row r="160" spans="2:14" ht="10" customHeight="1" thickBot="1" x14ac:dyDescent="0.4">
      <c r="B160" s="207"/>
      <c r="C160" s="245"/>
      <c r="D160" s="245"/>
      <c r="E160" s="245"/>
      <c r="F160" s="246"/>
      <c r="G160" s="298"/>
      <c r="H160" s="298"/>
      <c r="I160" s="298"/>
      <c r="J160" s="9"/>
      <c r="K160" s="298"/>
      <c r="L160" s="298"/>
      <c r="M160" s="196"/>
    </row>
    <row r="161" spans="2:16" ht="14.15" customHeight="1" thickBot="1" x14ac:dyDescent="0.4">
      <c r="C161" s="252"/>
      <c r="D161" s="252"/>
      <c r="E161" s="252"/>
      <c r="F161" s="186"/>
      <c r="G161" s="124"/>
      <c r="H161" s="124"/>
    </row>
    <row r="162" spans="2:16" ht="10" customHeight="1" x14ac:dyDescent="0.35">
      <c r="B162" s="111"/>
      <c r="C162" s="249"/>
      <c r="D162" s="249"/>
      <c r="E162" s="249"/>
      <c r="F162" s="250"/>
      <c r="G162" s="114"/>
      <c r="H162" s="114"/>
      <c r="I162" s="115"/>
      <c r="J162" s="115"/>
      <c r="K162" s="115"/>
      <c r="L162" s="115"/>
      <c r="M162" s="201"/>
    </row>
    <row r="163" spans="2:16" ht="26.15" customHeight="1" x14ac:dyDescent="0.35">
      <c r="B163" s="118"/>
      <c r="C163" s="844" t="s">
        <v>395</v>
      </c>
      <c r="D163" s="844"/>
      <c r="E163" s="844"/>
      <c r="F163" s="844"/>
      <c r="G163" s="844"/>
      <c r="H163" s="844"/>
      <c r="I163" s="844"/>
      <c r="J163" s="844"/>
      <c r="K163" s="844"/>
      <c r="L163" s="844"/>
      <c r="M163" s="126"/>
    </row>
    <row r="164" spans="2:16" ht="10" customHeight="1" x14ac:dyDescent="0.35">
      <c r="B164" s="118"/>
      <c r="C164" s="252"/>
      <c r="D164" s="252"/>
      <c r="E164" s="252"/>
      <c r="F164" s="186"/>
      <c r="G164" s="138"/>
      <c r="H164" s="138"/>
      <c r="I164" s="138"/>
      <c r="J164" s="138"/>
      <c r="K164" s="138"/>
      <c r="L164" s="138"/>
      <c r="M164" s="126"/>
    </row>
    <row r="165" spans="2:16" ht="22" customHeight="1" x14ac:dyDescent="0.35">
      <c r="B165" s="118"/>
      <c r="C165" s="251" t="s">
        <v>64</v>
      </c>
      <c r="D165" s="252"/>
      <c r="E165" s="252"/>
      <c r="F165" s="186"/>
      <c r="G165" s="138"/>
      <c r="H165" s="138"/>
      <c r="I165" s="138"/>
      <c r="J165" s="138"/>
      <c r="K165" s="138"/>
      <c r="L165" s="138"/>
      <c r="M165" s="126"/>
    </row>
    <row r="166" spans="2:16" ht="22" customHeight="1" x14ac:dyDescent="0.35">
      <c r="B166" s="118"/>
      <c r="C166" s="846" t="s">
        <v>516</v>
      </c>
      <c r="D166" s="846"/>
      <c r="E166" s="846"/>
      <c r="F166" s="846"/>
      <c r="G166" s="846"/>
      <c r="H166" s="846"/>
      <c r="I166" s="846"/>
      <c r="J166" s="846"/>
      <c r="K166" s="846"/>
      <c r="L166" s="846"/>
      <c r="M166" s="126"/>
      <c r="P166" s="198"/>
    </row>
    <row r="167" spans="2:16" ht="10" customHeight="1" thickBot="1" x14ac:dyDescent="0.4">
      <c r="B167" s="207"/>
      <c r="C167" s="245"/>
      <c r="D167" s="245"/>
      <c r="E167" s="245"/>
      <c r="F167" s="246"/>
      <c r="G167" s="298"/>
      <c r="H167" s="298"/>
      <c r="I167" s="298"/>
      <c r="J167" s="9"/>
      <c r="K167" s="298"/>
      <c r="L167" s="298"/>
      <c r="M167" s="196"/>
    </row>
    <row r="168" spans="2:16" s="301" customFormat="1" ht="14.15" customHeight="1" thickBot="1" x14ac:dyDescent="0.5">
      <c r="B168" s="299"/>
      <c r="C168" s="8"/>
      <c r="D168" s="8"/>
      <c r="E168" s="8"/>
      <c r="F168" s="8"/>
      <c r="G168" s="8"/>
      <c r="H168" s="8"/>
      <c r="I168" s="8"/>
      <c r="J168" s="8"/>
      <c r="K168" s="8"/>
      <c r="L168" s="8"/>
      <c r="M168" s="300"/>
      <c r="P168" s="302"/>
    </row>
    <row r="169" spans="2:16" ht="10" customHeight="1" x14ac:dyDescent="0.35">
      <c r="B169" s="111"/>
      <c r="C169" s="249"/>
      <c r="D169" s="249"/>
      <c r="E169" s="249"/>
      <c r="F169" s="250"/>
      <c r="G169" s="114"/>
      <c r="H169" s="114"/>
      <c r="I169" s="115"/>
      <c r="J169" s="115"/>
      <c r="K169" s="115"/>
      <c r="L169" s="115"/>
      <c r="M169" s="201"/>
    </row>
    <row r="170" spans="2:16" ht="26.15" customHeight="1" x14ac:dyDescent="0.35">
      <c r="B170" s="118"/>
      <c r="C170" s="844" t="s">
        <v>396</v>
      </c>
      <c r="D170" s="844"/>
      <c r="E170" s="844"/>
      <c r="F170" s="844"/>
      <c r="G170" s="844"/>
      <c r="H170" s="844"/>
      <c r="I170" s="844"/>
      <c r="J170" s="844"/>
      <c r="K170" s="844"/>
      <c r="L170" s="844"/>
      <c r="M170" s="126"/>
    </row>
    <row r="171" spans="2:16" ht="10" customHeight="1" x14ac:dyDescent="0.35">
      <c r="B171" s="118"/>
      <c r="C171" s="252"/>
      <c r="D171" s="252"/>
      <c r="E171" s="252"/>
      <c r="F171" s="186"/>
      <c r="G171" s="138"/>
      <c r="H171" s="138"/>
      <c r="I171" s="138"/>
      <c r="J171" s="138"/>
      <c r="K171" s="138"/>
      <c r="L171" s="138"/>
      <c r="M171" s="126"/>
    </row>
    <row r="172" spans="2:16" ht="22" customHeight="1" x14ac:dyDescent="0.35">
      <c r="B172" s="118"/>
      <c r="C172" s="251" t="s">
        <v>64</v>
      </c>
      <c r="D172" s="252"/>
      <c r="E172" s="252"/>
      <c r="F172" s="303"/>
      <c r="G172" s="303"/>
      <c r="H172" s="303"/>
      <c r="I172" s="303"/>
      <c r="J172" s="303"/>
      <c r="K172" s="303"/>
      <c r="L172" s="138"/>
      <c r="M172" s="126"/>
    </row>
    <row r="173" spans="2:16" ht="22" customHeight="1" x14ac:dyDescent="0.35">
      <c r="B173" s="118"/>
      <c r="C173" s="845" t="s">
        <v>610</v>
      </c>
      <c r="D173" s="846"/>
      <c r="E173" s="846"/>
      <c r="F173" s="846"/>
      <c r="G173" s="846"/>
      <c r="H173" s="846"/>
      <c r="I173" s="846"/>
      <c r="J173" s="846"/>
      <c r="K173" s="846"/>
      <c r="L173" s="846"/>
      <c r="M173" s="126"/>
    </row>
    <row r="174" spans="2:16" ht="10" customHeight="1" thickBot="1" x14ac:dyDescent="0.4">
      <c r="B174" s="207"/>
      <c r="C174" s="245"/>
      <c r="D174" s="245"/>
      <c r="E174" s="245"/>
      <c r="F174" s="246"/>
      <c r="G174" s="298"/>
      <c r="H174" s="298"/>
      <c r="I174" s="298"/>
      <c r="J174" s="9"/>
      <c r="K174" s="298"/>
      <c r="L174" s="298"/>
      <c r="M174" s="196"/>
    </row>
    <row r="175" spans="2:16" s="301" customFormat="1" ht="14.15" customHeight="1" thickBot="1" x14ac:dyDescent="0.5">
      <c r="B175" s="299"/>
      <c r="C175" s="8"/>
      <c r="D175" s="8"/>
      <c r="E175" s="8"/>
      <c r="F175" s="8"/>
      <c r="G175" s="8"/>
      <c r="H175" s="8"/>
      <c r="I175" s="8"/>
      <c r="J175" s="8"/>
      <c r="K175" s="8"/>
      <c r="L175" s="8"/>
      <c r="M175" s="300"/>
      <c r="P175" s="302"/>
    </row>
    <row r="176" spans="2:16" ht="10" customHeight="1" x14ac:dyDescent="0.35">
      <c r="B176" s="111"/>
      <c r="C176" s="249"/>
      <c r="D176" s="249"/>
      <c r="E176" s="249"/>
      <c r="F176" s="250"/>
      <c r="G176" s="114"/>
      <c r="H176" s="114"/>
      <c r="I176" s="115"/>
      <c r="J176" s="115"/>
      <c r="K176" s="115"/>
      <c r="L176" s="115"/>
      <c r="M176" s="201"/>
    </row>
    <row r="177" spans="2:16" ht="26.15" customHeight="1" x14ac:dyDescent="0.35">
      <c r="B177" s="118"/>
      <c r="C177" s="844" t="s">
        <v>671</v>
      </c>
      <c r="D177" s="844"/>
      <c r="E177" s="844"/>
      <c r="F177" s="844"/>
      <c r="G177" s="844"/>
      <c r="H177" s="844"/>
      <c r="I177" s="844"/>
      <c r="J177" s="844"/>
      <c r="K177" s="844"/>
      <c r="L177" s="844"/>
      <c r="M177" s="126"/>
    </row>
    <row r="178" spans="2:16" ht="10" customHeight="1" x14ac:dyDescent="0.35">
      <c r="B178" s="118"/>
      <c r="C178" s="252"/>
      <c r="D178" s="252"/>
      <c r="E178" s="252"/>
      <c r="F178" s="186"/>
      <c r="G178" s="138"/>
      <c r="H178" s="138"/>
      <c r="I178" s="138"/>
      <c r="J178" s="138"/>
      <c r="K178" s="138"/>
      <c r="L178" s="138"/>
      <c r="M178" s="126"/>
    </row>
    <row r="179" spans="2:16" ht="22" customHeight="1" x14ac:dyDescent="0.35">
      <c r="B179" s="118"/>
      <c r="C179" s="251" t="s">
        <v>64</v>
      </c>
      <c r="D179" s="252"/>
      <c r="E179" s="252"/>
      <c r="F179" s="303"/>
      <c r="G179" s="303"/>
      <c r="H179" s="303"/>
      <c r="I179" s="303"/>
      <c r="J179" s="303"/>
      <c r="K179" s="303"/>
      <c r="L179" s="138"/>
      <c r="M179" s="126"/>
    </row>
    <row r="180" spans="2:16" ht="22" customHeight="1" x14ac:dyDescent="0.35">
      <c r="B180" s="118"/>
      <c r="C180" s="845" t="s">
        <v>611</v>
      </c>
      <c r="D180" s="846"/>
      <c r="E180" s="846"/>
      <c r="F180" s="846"/>
      <c r="G180" s="846"/>
      <c r="H180" s="846"/>
      <c r="I180" s="846"/>
      <c r="J180" s="846"/>
      <c r="K180" s="846"/>
      <c r="L180" s="846"/>
      <c r="M180" s="126"/>
    </row>
    <row r="181" spans="2:16" ht="10" customHeight="1" thickBot="1" x14ac:dyDescent="0.4">
      <c r="B181" s="207"/>
      <c r="C181" s="245"/>
      <c r="D181" s="245"/>
      <c r="E181" s="245"/>
      <c r="F181" s="246"/>
      <c r="G181" s="298"/>
      <c r="H181" s="298"/>
      <c r="I181" s="298"/>
      <c r="J181" s="9"/>
      <c r="K181" s="298"/>
      <c r="L181" s="298"/>
      <c r="M181" s="196"/>
    </row>
    <row r="182" spans="2:16" s="301" customFormat="1" ht="14.15" customHeight="1" thickBot="1" x14ac:dyDescent="0.5">
      <c r="B182" s="299"/>
      <c r="C182" s="8"/>
      <c r="D182" s="8"/>
      <c r="E182" s="8"/>
      <c r="F182" s="8"/>
      <c r="G182" s="8"/>
      <c r="H182" s="8"/>
      <c r="I182" s="8"/>
      <c r="J182" s="8"/>
      <c r="K182" s="8"/>
      <c r="L182" s="8"/>
      <c r="M182" s="300"/>
      <c r="P182" s="302"/>
    </row>
    <row r="183" spans="2:16" ht="10" customHeight="1" x14ac:dyDescent="0.35">
      <c r="B183" s="111"/>
      <c r="C183" s="249"/>
      <c r="D183" s="249"/>
      <c r="E183" s="249"/>
      <c r="F183" s="250"/>
      <c r="G183" s="114"/>
      <c r="H183" s="114"/>
      <c r="I183" s="115"/>
      <c r="J183" s="115"/>
      <c r="K183" s="115"/>
      <c r="L183" s="115"/>
      <c r="M183" s="201"/>
    </row>
    <row r="184" spans="2:16" ht="26.15" customHeight="1" x14ac:dyDescent="0.35">
      <c r="B184" s="118"/>
      <c r="C184" s="844" t="s">
        <v>672</v>
      </c>
      <c r="D184" s="844"/>
      <c r="E184" s="844"/>
      <c r="F184" s="844"/>
      <c r="G184" s="844"/>
      <c r="H184" s="844"/>
      <c r="I184" s="844"/>
      <c r="J184" s="844"/>
      <c r="K184" s="844"/>
      <c r="L184" s="844"/>
      <c r="M184" s="126"/>
    </row>
    <row r="185" spans="2:16" ht="10" customHeight="1" x14ac:dyDescent="0.35">
      <c r="B185" s="118"/>
      <c r="C185" s="252"/>
      <c r="D185" s="252"/>
      <c r="E185" s="252"/>
      <c r="F185" s="186"/>
      <c r="G185" s="138"/>
      <c r="H185" s="138"/>
      <c r="I185" s="138"/>
      <c r="J185" s="138"/>
      <c r="K185" s="138"/>
      <c r="L185" s="138"/>
      <c r="M185" s="126"/>
    </row>
    <row r="186" spans="2:16" ht="22" customHeight="1" x14ac:dyDescent="0.35">
      <c r="B186" s="118"/>
      <c r="C186" s="251" t="s">
        <v>64</v>
      </c>
      <c r="D186" s="252"/>
      <c r="E186" s="252"/>
      <c r="F186" s="186"/>
      <c r="G186" s="138"/>
      <c r="H186" s="138"/>
      <c r="I186" s="138"/>
      <c r="J186" s="138"/>
      <c r="K186" s="138"/>
      <c r="L186" s="138"/>
      <c r="M186" s="126"/>
    </row>
    <row r="187" spans="2:16" ht="22" customHeight="1" x14ac:dyDescent="0.35">
      <c r="B187" s="118"/>
      <c r="C187" s="969" t="s">
        <v>570</v>
      </c>
      <c r="D187" s="969"/>
      <c r="E187" s="969"/>
      <c r="F187" s="969"/>
      <c r="G187" s="969"/>
      <c r="H187" s="969"/>
      <c r="I187" s="969"/>
      <c r="J187" s="969"/>
      <c r="K187" s="969"/>
      <c r="L187" s="969"/>
      <c r="M187" s="126"/>
    </row>
    <row r="188" spans="2:16" ht="10" customHeight="1" x14ac:dyDescent="0.35">
      <c r="B188" s="118"/>
      <c r="C188" s="252"/>
      <c r="D188" s="252"/>
      <c r="E188" s="252"/>
      <c r="F188" s="186"/>
      <c r="G188" s="138"/>
      <c r="H188" s="138"/>
      <c r="I188" s="138"/>
      <c r="J188" s="138"/>
      <c r="K188" s="138"/>
      <c r="L188" s="138"/>
      <c r="M188" s="126"/>
    </row>
    <row r="189" spans="2:16" ht="24" customHeight="1" x14ac:dyDescent="0.35">
      <c r="B189" s="118"/>
      <c r="C189" s="252"/>
      <c r="D189" s="252"/>
      <c r="E189" s="967" t="s">
        <v>577</v>
      </c>
      <c r="F189" s="968"/>
      <c r="G189" s="934" t="s">
        <v>465</v>
      </c>
      <c r="H189" s="935"/>
      <c r="I189" s="972" t="s">
        <v>61</v>
      </c>
      <c r="J189" s="973"/>
      <c r="K189" s="934" t="s">
        <v>465</v>
      </c>
      <c r="L189" s="935"/>
      <c r="M189" s="126"/>
    </row>
    <row r="190" spans="2:16" ht="76" customHeight="1" x14ac:dyDescent="0.35">
      <c r="B190" s="118"/>
      <c r="C190" s="970"/>
      <c r="D190" s="971"/>
      <c r="E190" s="305" t="s">
        <v>614</v>
      </c>
      <c r="F190" s="306" t="s">
        <v>410</v>
      </c>
      <c r="G190" s="307" t="s">
        <v>410</v>
      </c>
      <c r="H190" s="307" t="s">
        <v>576</v>
      </c>
      <c r="I190" s="308" t="s">
        <v>580</v>
      </c>
      <c r="J190" s="308" t="s">
        <v>410</v>
      </c>
      <c r="K190" s="307" t="s">
        <v>410</v>
      </c>
      <c r="L190" s="307" t="s">
        <v>576</v>
      </c>
      <c r="M190" s="119"/>
      <c r="O190" s="309"/>
    </row>
    <row r="191" spans="2:16" ht="25" customHeight="1" x14ac:dyDescent="0.35">
      <c r="B191" s="118"/>
      <c r="C191" s="979" t="s">
        <v>620</v>
      </c>
      <c r="D191" s="980"/>
      <c r="E191" s="980"/>
      <c r="F191" s="980"/>
      <c r="G191" s="980"/>
      <c r="H191" s="980"/>
      <c r="I191" s="980"/>
      <c r="J191" s="980"/>
      <c r="K191" s="980"/>
      <c r="L191" s="981"/>
      <c r="M191" s="119"/>
    </row>
    <row r="192" spans="2:16" ht="32" customHeight="1" x14ac:dyDescent="0.35">
      <c r="B192" s="118"/>
      <c r="C192" s="847" t="s">
        <v>398</v>
      </c>
      <c r="D192" s="848"/>
      <c r="E192" s="742">
        <f>+DEMANDE_Équipe_Tournée!L33</f>
        <v>0</v>
      </c>
      <c r="F192" s="742">
        <f>+DEMANDE_Équipe_Tournée!L33</f>
        <v>0</v>
      </c>
      <c r="G192" s="310"/>
      <c r="H192" s="311"/>
      <c r="I192" s="736" t="str">
        <f>IF(RAPPORT_FINAL_Calendrier!L70=0,"",RAPPORT_FINAL_Équipe_Tournée!L34)</f>
        <v/>
      </c>
      <c r="J192" s="736" t="str">
        <f>IF(RAPPORT_FINAL_Calendrier!L70=0,"",RAPPORT_FINAL_Équipe_Tournée!L34)</f>
        <v/>
      </c>
      <c r="K192" s="313"/>
      <c r="L192" s="314"/>
      <c r="M192" s="119"/>
      <c r="O192" s="1002" t="str">
        <f>IF(E192=0,"",IF(I192="","",IF(RAPPORT_FINAL_Calendrier!L70&lt;&gt;0,"","N'oubliez pas d'ajouter les assistances pour chaque spectacle dans l'onglet RAPPORT_FINAL_Calendrier")))</f>
        <v/>
      </c>
    </row>
    <row r="193" spans="2:17" ht="32" customHeight="1" x14ac:dyDescent="0.35">
      <c r="B193" s="118"/>
      <c r="C193" s="847" t="s">
        <v>399</v>
      </c>
      <c r="D193" s="848"/>
      <c r="E193" s="742">
        <f>+DEMANDE_Équipe_Tournée!G33</f>
        <v>0</v>
      </c>
      <c r="F193" s="742">
        <f>+DEMANDE_Équipe_Tournée!I33</f>
        <v>0</v>
      </c>
      <c r="G193" s="310"/>
      <c r="H193" s="311"/>
      <c r="I193" s="736" t="str">
        <f>IF(RAPPORT_FINAL_Calendrier!L70=0,"",RAPPORT_FINAL_Équipe_Tournée!G34)</f>
        <v/>
      </c>
      <c r="J193" s="736" t="str">
        <f>IF(RAPPORT_FINAL_Calendrier!L70=0,"",RAPPORT_FINAL_Équipe_Tournée!I34)</f>
        <v/>
      </c>
      <c r="K193" s="313"/>
      <c r="L193" s="314"/>
      <c r="M193" s="119"/>
      <c r="O193" s="1002"/>
    </row>
    <row r="194" spans="2:17" ht="32" customHeight="1" x14ac:dyDescent="0.35">
      <c r="B194" s="118"/>
      <c r="C194" s="847" t="s">
        <v>400</v>
      </c>
      <c r="D194" s="848"/>
      <c r="E194" s="742">
        <f>SUM(DEMANDE_Transport!D41,DEMANDE_Transport!N33,DEMANDE_Transport!S33)</f>
        <v>0</v>
      </c>
      <c r="F194" s="742">
        <f>SUM(DEMANDE_Transport!G41,DEMANDE_Transport!O33,DEMANDE_Transport!T33)</f>
        <v>0</v>
      </c>
      <c r="G194" s="310"/>
      <c r="H194" s="311"/>
      <c r="I194" s="736" t="str">
        <f>IF(RAPPORT_FINAL_Calendrier!L70=0,"",RAPPORT_FINAL_Transport!D37+RAPPORT_FINAL_Transport!L29+RAPPORT_FINAL_Transport!P29)</f>
        <v/>
      </c>
      <c r="J194" s="736" t="str">
        <f>IF(RAPPORT_FINAL_Calendrier!L70=0,"",RAPPORT_FINAL_Transport!G37+RAPPORT_FINAL_Transport!M29+RAPPORT_FINAL_Transport!Q29)</f>
        <v/>
      </c>
      <c r="K194" s="313"/>
      <c r="L194" s="314"/>
      <c r="M194" s="119"/>
      <c r="O194" s="1002"/>
    </row>
    <row r="195" spans="2:17" ht="46" customHeight="1" x14ac:dyDescent="0.35">
      <c r="B195" s="118"/>
      <c r="C195" s="847" t="s">
        <v>624</v>
      </c>
      <c r="D195" s="848"/>
      <c r="E195" s="742">
        <f>+DEMANDE_Transport!Y36</f>
        <v>0</v>
      </c>
      <c r="F195" s="742">
        <f>+DEMANDE_Transport!AB36</f>
        <v>0</v>
      </c>
      <c r="G195" s="310"/>
      <c r="H195" s="311"/>
      <c r="I195" s="736" t="str">
        <f>IF(RAPPORT_FINAL_Calendrier!L70=0,"",RAPPORT_FINAL_Transport!V32)</f>
        <v/>
      </c>
      <c r="J195" s="736" t="str">
        <f>IF(RAPPORT_FINAL_Calendrier!L70=0,"",RAPPORT_FINAL_Transport!Y32)</f>
        <v/>
      </c>
      <c r="K195" s="313"/>
      <c r="L195" s="314"/>
      <c r="M195" s="119"/>
      <c r="O195" s="1002"/>
    </row>
    <row r="196" spans="2:17" ht="28" customHeight="1" x14ac:dyDescent="0.35">
      <c r="B196" s="118"/>
      <c r="C196" s="965" t="s">
        <v>43</v>
      </c>
      <c r="D196" s="966"/>
      <c r="E196" s="315">
        <f>SUM(E192:E195)</f>
        <v>0</v>
      </c>
      <c r="F196" s="315">
        <f>IF(SUM(F192:F195)&gt;25000,25000,SUM(F192:F195))</f>
        <v>0</v>
      </c>
      <c r="G196" s="316">
        <f>IF(SUM(G192:G195)&gt;25000,25000,SUM(G192:G195))</f>
        <v>0</v>
      </c>
      <c r="H196" s="316"/>
      <c r="I196" s="317">
        <f>SUM(I192:I195)</f>
        <v>0</v>
      </c>
      <c r="J196" s="317">
        <f>IF(SUM(J192:J195)&gt;F196,F196,IF(SUM(J192:J195)&gt;25000,25000,SUM(J192:J195)))</f>
        <v>0</v>
      </c>
      <c r="K196" s="316">
        <f>IF(SUM(K192:K195)&gt;25000,25000,SUM(K192:K195))</f>
        <v>0</v>
      </c>
      <c r="L196" s="318"/>
      <c r="M196" s="119"/>
    </row>
    <row r="197" spans="2:17" ht="10" customHeight="1" thickBot="1" x14ac:dyDescent="0.4">
      <c r="B197" s="207"/>
      <c r="C197" s="245"/>
      <c r="D197" s="245"/>
      <c r="E197" s="245"/>
      <c r="F197" s="246"/>
      <c r="G197" s="298"/>
      <c r="H197" s="298"/>
      <c r="I197" s="298"/>
      <c r="J197" s="9"/>
      <c r="K197" s="298"/>
      <c r="L197" s="298"/>
      <c r="M197" s="196"/>
    </row>
    <row r="198" spans="2:17" s="301" customFormat="1" ht="14.15" customHeight="1" thickBot="1" x14ac:dyDescent="0.5">
      <c r="B198" s="299"/>
      <c r="C198" s="8"/>
      <c r="D198" s="8"/>
      <c r="E198" s="8"/>
      <c r="F198" s="8"/>
      <c r="G198" s="8"/>
      <c r="H198" s="8"/>
      <c r="I198" s="8"/>
      <c r="J198" s="8"/>
      <c r="K198" s="8"/>
      <c r="L198" s="8"/>
      <c r="M198" s="300"/>
      <c r="P198" s="302"/>
    </row>
    <row r="199" spans="2:17" ht="10" customHeight="1" x14ac:dyDescent="0.35">
      <c r="B199" s="111"/>
      <c r="C199" s="249"/>
      <c r="D199" s="249"/>
      <c r="E199" s="249"/>
      <c r="F199" s="250"/>
      <c r="G199" s="114"/>
      <c r="H199" s="114"/>
      <c r="I199" s="115"/>
      <c r="J199" s="115"/>
      <c r="K199" s="115"/>
      <c r="L199" s="115"/>
      <c r="M199" s="201"/>
    </row>
    <row r="200" spans="2:17" ht="22" customHeight="1" x14ac:dyDescent="0.35">
      <c r="B200" s="118"/>
      <c r="C200" s="855" t="s">
        <v>64</v>
      </c>
      <c r="D200" s="855"/>
      <c r="E200" s="855"/>
      <c r="F200" s="855"/>
      <c r="G200" s="855"/>
      <c r="H200" s="855"/>
      <c r="I200" s="855"/>
      <c r="J200" s="855"/>
      <c r="K200" s="855"/>
      <c r="L200" s="855"/>
      <c r="M200" s="126"/>
    </row>
    <row r="201" spans="2:17" ht="22" customHeight="1" x14ac:dyDescent="0.35">
      <c r="B201" s="118"/>
      <c r="C201" s="969" t="s">
        <v>599</v>
      </c>
      <c r="D201" s="969"/>
      <c r="E201" s="969"/>
      <c r="F201" s="969"/>
      <c r="G201" s="969"/>
      <c r="H201" s="969"/>
      <c r="I201" s="969"/>
      <c r="J201" s="969"/>
      <c r="K201" s="969"/>
      <c r="L201" s="969"/>
      <c r="M201" s="126"/>
    </row>
    <row r="202" spans="2:17" ht="22" customHeight="1" x14ac:dyDescent="0.35">
      <c r="B202" s="118"/>
      <c r="C202" s="822" t="s">
        <v>662</v>
      </c>
      <c r="D202" s="822"/>
      <c r="E202" s="822"/>
      <c r="F202" s="822"/>
      <c r="G202" s="822"/>
      <c r="H202" s="822"/>
      <c r="I202" s="822"/>
      <c r="J202" s="822"/>
      <c r="K202" s="822"/>
      <c r="L202" s="822"/>
      <c r="M202" s="126"/>
    </row>
    <row r="203" spans="2:17" ht="10" customHeight="1" x14ac:dyDescent="0.35">
      <c r="B203" s="118"/>
      <c r="C203" s="253"/>
      <c r="D203" s="253"/>
      <c r="E203" s="253"/>
      <c r="F203" s="253"/>
      <c r="G203" s="253"/>
      <c r="H203" s="253"/>
      <c r="I203" s="253"/>
      <c r="J203" s="253"/>
      <c r="K203" s="253"/>
      <c r="L203" s="253"/>
      <c r="M203" s="126"/>
    </row>
    <row r="204" spans="2:17" ht="40" customHeight="1" x14ac:dyDescent="0.35">
      <c r="B204" s="118"/>
      <c r="C204" s="252"/>
      <c r="D204" s="252"/>
      <c r="E204" s="916" t="s">
        <v>577</v>
      </c>
      <c r="F204" s="917"/>
      <c r="G204" s="934" t="s">
        <v>465</v>
      </c>
      <c r="H204" s="935"/>
      <c r="I204" s="319" t="s">
        <v>61</v>
      </c>
      <c r="J204" s="323" t="s">
        <v>808</v>
      </c>
      <c r="K204" s="320"/>
      <c r="L204" s="321"/>
      <c r="M204" s="126"/>
    </row>
    <row r="205" spans="2:17" ht="76" customHeight="1" x14ac:dyDescent="0.35">
      <c r="B205" s="118"/>
      <c r="C205" s="304"/>
      <c r="D205" s="322"/>
      <c r="E205" s="918" t="s">
        <v>614</v>
      </c>
      <c r="F205" s="919"/>
      <c r="G205" s="323" t="s">
        <v>441</v>
      </c>
      <c r="H205" s="307" t="s">
        <v>576</v>
      </c>
      <c r="I205" s="308" t="s">
        <v>580</v>
      </c>
      <c r="J205" s="307" t="s">
        <v>441</v>
      </c>
      <c r="K205" s="977" t="s">
        <v>809</v>
      </c>
      <c r="L205" s="978"/>
      <c r="M205" s="119"/>
      <c r="O205" s="324"/>
    </row>
    <row r="206" spans="2:17" ht="25" customHeight="1" x14ac:dyDescent="0.35">
      <c r="B206" s="118"/>
      <c r="C206" s="920" t="s">
        <v>709</v>
      </c>
      <c r="D206" s="921"/>
      <c r="E206" s="921"/>
      <c r="F206" s="922"/>
      <c r="G206" s="856"/>
      <c r="H206" s="857"/>
      <c r="I206" s="857"/>
      <c r="J206" s="857"/>
      <c r="K206" s="857"/>
      <c r="L206" s="858"/>
      <c r="M206" s="119"/>
      <c r="O206" s="324"/>
      <c r="Q206" s="325"/>
    </row>
    <row r="207" spans="2:17" ht="50" customHeight="1" x14ac:dyDescent="0.35">
      <c r="B207" s="118"/>
      <c r="C207" s="984" t="s">
        <v>706</v>
      </c>
      <c r="D207" s="985"/>
      <c r="E207" s="914"/>
      <c r="F207" s="915"/>
      <c r="G207" s="310"/>
      <c r="H207" s="311"/>
      <c r="I207" s="24"/>
      <c r="J207" s="310"/>
      <c r="K207" s="849"/>
      <c r="L207" s="850"/>
      <c r="M207" s="119"/>
      <c r="Q207" s="325"/>
    </row>
    <row r="208" spans="2:17" ht="50" customHeight="1" x14ac:dyDescent="0.35">
      <c r="B208" s="118"/>
      <c r="C208" s="847" t="s">
        <v>730</v>
      </c>
      <c r="D208" s="848"/>
      <c r="E208" s="914"/>
      <c r="F208" s="915"/>
      <c r="G208" s="310"/>
      <c r="H208" s="311"/>
      <c r="I208" s="24"/>
      <c r="J208" s="310"/>
      <c r="K208" s="849"/>
      <c r="L208" s="850"/>
      <c r="M208" s="119"/>
      <c r="Q208" s="325"/>
    </row>
    <row r="209" spans="2:16" ht="50" customHeight="1" x14ac:dyDescent="0.35">
      <c r="B209" s="118"/>
      <c r="C209" s="847" t="s">
        <v>807</v>
      </c>
      <c r="D209" s="848"/>
      <c r="E209" s="914"/>
      <c r="F209" s="915"/>
      <c r="G209" s="310"/>
      <c r="H209" s="311"/>
      <c r="I209" s="24"/>
      <c r="J209" s="310"/>
      <c r="K209" s="849"/>
      <c r="L209" s="850"/>
      <c r="M209" s="119"/>
      <c r="O209" s="324"/>
    </row>
    <row r="210" spans="2:16" ht="40" customHeight="1" x14ac:dyDescent="0.35">
      <c r="B210" s="118"/>
      <c r="C210" s="847" t="s">
        <v>707</v>
      </c>
      <c r="D210" s="848"/>
      <c r="E210" s="914"/>
      <c r="F210" s="915"/>
      <c r="G210" s="310"/>
      <c r="H210" s="311"/>
      <c r="I210" s="24"/>
      <c r="J210" s="310"/>
      <c r="K210" s="849"/>
      <c r="L210" s="850"/>
      <c r="M210" s="119"/>
    </row>
    <row r="211" spans="2:16" ht="50" customHeight="1" x14ac:dyDescent="0.35">
      <c r="B211" s="118"/>
      <c r="C211" s="847" t="s">
        <v>775</v>
      </c>
      <c r="D211" s="848"/>
      <c r="E211" s="914"/>
      <c r="F211" s="915"/>
      <c r="G211" s="310"/>
      <c r="H211" s="311"/>
      <c r="I211" s="24"/>
      <c r="J211" s="310"/>
      <c r="K211" s="849"/>
      <c r="L211" s="850"/>
      <c r="M211" s="119"/>
    </row>
    <row r="212" spans="2:16" s="1" customFormat="1" ht="40" customHeight="1" x14ac:dyDescent="0.3">
      <c r="B212" s="171"/>
      <c r="C212" s="847" t="s">
        <v>708</v>
      </c>
      <c r="D212" s="848"/>
      <c r="E212" s="914"/>
      <c r="F212" s="915"/>
      <c r="G212" s="310"/>
      <c r="H212" s="311"/>
      <c r="I212" s="24"/>
      <c r="J212" s="310"/>
      <c r="K212" s="849"/>
      <c r="L212" s="850"/>
      <c r="M212" s="326"/>
      <c r="P212" s="199"/>
    </row>
    <row r="213" spans="2:16" ht="28" customHeight="1" x14ac:dyDescent="0.35">
      <c r="B213" s="118"/>
      <c r="C213" s="965" t="s">
        <v>401</v>
      </c>
      <c r="D213" s="966"/>
      <c r="E213" s="982">
        <f>SUM(E207:E212)</f>
        <v>0</v>
      </c>
      <c r="F213" s="983"/>
      <c r="G213" s="327">
        <f>SUM(G207:G212)</f>
        <v>0</v>
      </c>
      <c r="H213" s="328"/>
      <c r="I213" s="317">
        <f>SUM(I207:I212)</f>
        <v>0</v>
      </c>
      <c r="J213" s="327">
        <f>SUM(J207:J212)</f>
        <v>0</v>
      </c>
      <c r="K213" s="329"/>
      <c r="L213" s="330"/>
      <c r="M213" s="119"/>
      <c r="O213" s="674" t="s">
        <v>66</v>
      </c>
    </row>
    <row r="214" spans="2:16" ht="10" customHeight="1" x14ac:dyDescent="0.35">
      <c r="B214" s="118"/>
      <c r="F214" s="325"/>
      <c r="M214" s="119"/>
    </row>
    <row r="215" spans="2:16" ht="10" customHeight="1" x14ac:dyDescent="0.35">
      <c r="B215" s="118"/>
      <c r="C215" s="331"/>
      <c r="D215" s="331"/>
      <c r="E215" s="331"/>
      <c r="F215" s="331"/>
      <c r="G215" s="331"/>
      <c r="H215" s="332"/>
      <c r="I215" s="332"/>
      <c r="J215" s="332"/>
      <c r="M215" s="119"/>
    </row>
    <row r="216" spans="2:16" ht="33.5" customHeight="1" x14ac:dyDescent="0.35">
      <c r="B216" s="118"/>
      <c r="C216" s="970" t="s">
        <v>13</v>
      </c>
      <c r="D216" s="971"/>
      <c r="E216" s="333" t="s">
        <v>621</v>
      </c>
      <c r="F216" s="333" t="s">
        <v>622</v>
      </c>
      <c r="G216" s="334" t="s">
        <v>808</v>
      </c>
      <c r="H216" s="138"/>
      <c r="I216" s="335" t="s">
        <v>723</v>
      </c>
      <c r="J216" s="336" t="s">
        <v>810</v>
      </c>
      <c r="K216" s="138"/>
      <c r="L216" s="138"/>
      <c r="M216" s="126"/>
    </row>
    <row r="217" spans="2:16" ht="28" customHeight="1" x14ac:dyDescent="0.35">
      <c r="B217" s="118"/>
      <c r="E217" s="337">
        <f>SUM(E196,E213)</f>
        <v>0</v>
      </c>
      <c r="F217" s="337">
        <f>F196</f>
        <v>0</v>
      </c>
      <c r="G217" s="338">
        <f>SUM(E196,G213)</f>
        <v>0</v>
      </c>
      <c r="H217" s="339"/>
      <c r="I217" s="340">
        <f>SUM(I196,I213)</f>
        <v>0</v>
      </c>
      <c r="J217" s="340">
        <f>+E217-I217</f>
        <v>0</v>
      </c>
      <c r="M217" s="119"/>
    </row>
    <row r="218" spans="2:16" ht="10" customHeight="1" thickBot="1" x14ac:dyDescent="0.4">
      <c r="B218" s="207"/>
      <c r="C218" s="341"/>
      <c r="D218" s="341"/>
      <c r="E218" s="341"/>
      <c r="F218" s="342"/>
      <c r="G218" s="342"/>
      <c r="H218" s="342"/>
      <c r="I218" s="342"/>
      <c r="J218" s="342"/>
      <c r="K218" s="342"/>
      <c r="L218" s="195"/>
      <c r="M218" s="343"/>
    </row>
    <row r="219" spans="2:16" ht="14.15" customHeight="1" thickBot="1" x14ac:dyDescent="0.4">
      <c r="F219" s="325"/>
      <c r="M219" s="62"/>
    </row>
    <row r="220" spans="2:16" ht="10" customHeight="1" x14ac:dyDescent="0.35">
      <c r="B220" s="111"/>
      <c r="C220" s="115"/>
      <c r="D220" s="115"/>
      <c r="E220" s="115"/>
      <c r="F220" s="344"/>
      <c r="G220" s="115"/>
      <c r="H220" s="115"/>
      <c r="I220" s="115"/>
      <c r="J220" s="115"/>
      <c r="K220" s="115"/>
      <c r="L220" s="115"/>
      <c r="M220" s="116"/>
    </row>
    <row r="221" spans="2:16" ht="26.15" customHeight="1" x14ac:dyDescent="0.35">
      <c r="B221" s="118"/>
      <c r="C221" s="844" t="s">
        <v>748</v>
      </c>
      <c r="D221" s="844"/>
      <c r="E221" s="844"/>
      <c r="F221" s="844"/>
      <c r="G221" s="844"/>
      <c r="H221" s="844"/>
      <c r="I221" s="844"/>
      <c r="J221" s="844"/>
      <c r="K221" s="844"/>
      <c r="L221" s="844"/>
      <c r="M221" s="126"/>
    </row>
    <row r="222" spans="2:16" ht="10" customHeight="1" x14ac:dyDescent="0.35">
      <c r="B222" s="118"/>
      <c r="C222" s="124"/>
      <c r="D222" s="124"/>
      <c r="E222" s="124"/>
      <c r="F222" s="186"/>
      <c r="G222" s="124"/>
      <c r="H222" s="124"/>
      <c r="M222" s="126"/>
    </row>
    <row r="223" spans="2:16" ht="50.15" customHeight="1" x14ac:dyDescent="0.35">
      <c r="B223" s="118"/>
      <c r="C223" s="841" t="s">
        <v>556</v>
      </c>
      <c r="D223" s="842"/>
      <c r="E223" s="842"/>
      <c r="F223" s="842"/>
      <c r="G223" s="842"/>
      <c r="H223" s="842"/>
      <c r="I223" s="842"/>
      <c r="J223" s="842"/>
      <c r="K223" s="842"/>
      <c r="L223" s="843"/>
      <c r="M223" s="126"/>
    </row>
    <row r="224" spans="2:16" ht="10" customHeight="1" x14ac:dyDescent="0.35">
      <c r="B224" s="118"/>
      <c r="C224" s="124"/>
      <c r="D224" s="124"/>
      <c r="E224" s="124"/>
      <c r="F224" s="186"/>
      <c r="G224" s="124"/>
      <c r="H224" s="124"/>
      <c r="M224" s="126"/>
    </row>
    <row r="225" spans="2:17" ht="10" customHeight="1" x14ac:dyDescent="0.35">
      <c r="B225" s="118"/>
      <c r="C225" s="256"/>
      <c r="D225" s="257"/>
      <c r="E225" s="345"/>
      <c r="F225" s="257"/>
      <c r="G225" s="346"/>
      <c r="H225" s="346"/>
      <c r="I225" s="346"/>
      <c r="J225" s="346"/>
      <c r="K225" s="346"/>
      <c r="L225" s="347"/>
      <c r="M225" s="126"/>
      <c r="P225" s="348"/>
    </row>
    <row r="226" spans="2:17" ht="70" customHeight="1" x14ac:dyDescent="0.35">
      <c r="B226" s="118"/>
      <c r="C226" s="975" t="s">
        <v>411</v>
      </c>
      <c r="D226" s="976"/>
      <c r="E226" s="53"/>
      <c r="F226" s="737" t="str">
        <f>IF(E226="","",IF(E226="oui","Veuillez inscrire le montant de l'aide globale",IF(E226="non","Si applicable, veuillez inscrire le montant de l'aide ponctuelle à la ligne 236","")))</f>
        <v/>
      </c>
      <c r="G226" s="51"/>
      <c r="H226" s="349"/>
      <c r="I226" s="974" t="str">
        <f>IF(E226="oui","Veuillez inscrire le pourcentage de l'aide globale alloué au projet","")</f>
        <v/>
      </c>
      <c r="J226" s="974"/>
      <c r="K226" s="52"/>
      <c r="L226" s="177"/>
      <c r="M226" s="126"/>
      <c r="P226" s="348"/>
    </row>
    <row r="227" spans="2:17" ht="14" customHeight="1" x14ac:dyDescent="0.35">
      <c r="B227" s="118"/>
      <c r="C227" s="350"/>
      <c r="D227" s="351"/>
      <c r="E227" s="352"/>
      <c r="F227" s="351"/>
      <c r="G227" s="216"/>
      <c r="H227" s="216"/>
      <c r="I227" s="216"/>
      <c r="J227" s="216"/>
      <c r="K227" s="216"/>
      <c r="L227" s="177"/>
      <c r="M227" s="126"/>
      <c r="P227" s="348"/>
    </row>
    <row r="228" spans="2:17" ht="70" customHeight="1" x14ac:dyDescent="0.35">
      <c r="B228" s="118"/>
      <c r="C228" s="975" t="s">
        <v>412</v>
      </c>
      <c r="D228" s="976"/>
      <c r="E228" s="53"/>
      <c r="F228" s="737" t="str">
        <f>IF(E228="","",IF(E228="oui","Veuillez inscrire le montant de l'aide globale",IF(E228="non","Si applicable, veuillez inscrire le montant de l'aide ponctuelle à la ligne 238","")))</f>
        <v/>
      </c>
      <c r="G228" s="51"/>
      <c r="H228" s="349"/>
      <c r="I228" s="974" t="str">
        <f>IF(E228="oui","Veuillez inscrire le pourcentage de l'aide globale alloué au projet","")</f>
        <v/>
      </c>
      <c r="J228" s="974"/>
      <c r="K228" s="52"/>
      <c r="L228" s="177"/>
      <c r="M228" s="126"/>
      <c r="P228" s="348"/>
    </row>
    <row r="229" spans="2:17" ht="10" customHeight="1" x14ac:dyDescent="0.35">
      <c r="B229" s="118"/>
      <c r="C229" s="236"/>
      <c r="D229" s="353"/>
      <c r="E229" s="354"/>
      <c r="F229" s="355"/>
      <c r="G229" s="355"/>
      <c r="H229" s="355"/>
      <c r="I229" s="355"/>
      <c r="J229" s="355"/>
      <c r="K229" s="355"/>
      <c r="L229" s="135"/>
      <c r="M229" s="126"/>
      <c r="P229" s="348"/>
    </row>
    <row r="230" spans="2:17" ht="10" customHeight="1" x14ac:dyDescent="0.35">
      <c r="B230" s="118"/>
      <c r="C230" s="124"/>
      <c r="D230" s="124"/>
      <c r="E230" s="124"/>
      <c r="F230" s="186"/>
      <c r="G230" s="124"/>
      <c r="H230" s="124"/>
      <c r="M230" s="126"/>
    </row>
    <row r="231" spans="2:17" s="1" customFormat="1" ht="76" customHeight="1" x14ac:dyDescent="0.35">
      <c r="B231" s="171"/>
      <c r="E231" s="356" t="s">
        <v>642</v>
      </c>
      <c r="F231" s="356" t="s">
        <v>579</v>
      </c>
      <c r="G231" s="994" t="str">
        <f>IF(G233&gt;0,"RÉSERVÉ À LA SODEC","")</f>
        <v/>
      </c>
      <c r="H231" s="995"/>
      <c r="I231" s="357" t="s">
        <v>581</v>
      </c>
      <c r="J231" s="308" t="s">
        <v>612</v>
      </c>
      <c r="K231" s="1007" t="s">
        <v>578</v>
      </c>
      <c r="L231" s="1008"/>
      <c r="M231" s="326"/>
      <c r="O231" s="62"/>
      <c r="P231" s="199"/>
      <c r="Q231" s="62"/>
    </row>
    <row r="232" spans="2:17" ht="20.149999999999999" customHeight="1" x14ac:dyDescent="0.35">
      <c r="B232" s="118"/>
      <c r="C232" s="990" t="s">
        <v>448</v>
      </c>
      <c r="D232" s="991"/>
      <c r="E232" s="358"/>
      <c r="F232" s="358"/>
      <c r="G232" s="359"/>
      <c r="H232" s="360"/>
      <c r="I232" s="358"/>
      <c r="J232" s="358"/>
      <c r="K232" s="361"/>
      <c r="L232" s="362"/>
      <c r="M232" s="119"/>
    </row>
    <row r="233" spans="2:17" ht="30" customHeight="1" x14ac:dyDescent="0.35">
      <c r="B233" s="118"/>
      <c r="C233" s="988" t="s">
        <v>561</v>
      </c>
      <c r="D233" s="989"/>
      <c r="E233" s="738" t="str">
        <f>IF(F233=0,"",IF(I233&lt;&gt;"","Confirmé",IF(F233&lt;&gt;"","Pressenti","")))</f>
        <v/>
      </c>
      <c r="F233" s="739">
        <f>IF(F287="","",F287)</f>
        <v>0</v>
      </c>
      <c r="G233" s="1000">
        <f>IF(I281="La tournée est constituée majoritairement de premières parties",ROUNDDOWN(G196,0),ROUNDDOWN(R287,0))</f>
        <v>0</v>
      </c>
      <c r="H233" s="1001"/>
      <c r="I233" s="26"/>
      <c r="J233" s="736">
        <f>IF(RAPPORT_FINAL_Calendrier!$L$70=0,0,IF(I233="","",(I233-F233)))</f>
        <v>0</v>
      </c>
      <c r="K233" s="945"/>
      <c r="L233" s="946"/>
      <c r="M233" s="119"/>
      <c r="P233" s="348"/>
    </row>
    <row r="234" spans="2:17" ht="20.149999999999999" customHeight="1" x14ac:dyDescent="0.35">
      <c r="B234" s="118"/>
      <c r="C234" s="986" t="s">
        <v>434</v>
      </c>
      <c r="D234" s="987"/>
      <c r="E234" s="358"/>
      <c r="F234" s="366">
        <f>SUM(F235:F244)</f>
        <v>0</v>
      </c>
      <c r="G234" s="1000"/>
      <c r="H234" s="1001"/>
      <c r="I234" s="366">
        <f>SUM(I235:I244)</f>
        <v>0</v>
      </c>
      <c r="J234" s="366">
        <f>SUM(J235:J244)</f>
        <v>0</v>
      </c>
      <c r="K234" s="367"/>
      <c r="L234" s="368"/>
      <c r="M234" s="119"/>
    </row>
    <row r="235" spans="2:17" ht="30" customHeight="1" x14ac:dyDescent="0.35">
      <c r="B235" s="118"/>
      <c r="C235" s="992" t="s">
        <v>517</v>
      </c>
      <c r="D235" s="993"/>
      <c r="E235" s="740" t="str">
        <f>IF(E226="","",IF(E226="Non","","Confirmé"))</f>
        <v/>
      </c>
      <c r="F235" s="741" t="str">
        <f>IF(E226="oui",G226*K226,"")</f>
        <v/>
      </c>
      <c r="G235" s="1009"/>
      <c r="H235" s="1010"/>
      <c r="I235" s="743" t="str">
        <f>IF(E235="Confirmé",F235,"")</f>
        <v/>
      </c>
      <c r="J235" s="743">
        <f>IF(RAPPORT_FINAL_Calendrier!$L$70=0,0,IF(I235="","",(I235-F235)))</f>
        <v>0</v>
      </c>
      <c r="K235" s="996"/>
      <c r="L235" s="997"/>
      <c r="M235" s="119"/>
      <c r="N235" s="324"/>
      <c r="O235" s="325"/>
      <c r="P235" s="348"/>
    </row>
    <row r="236" spans="2:17" ht="30" customHeight="1" x14ac:dyDescent="0.35">
      <c r="B236" s="118"/>
      <c r="C236" s="988" t="s">
        <v>426</v>
      </c>
      <c r="D236" s="989"/>
      <c r="E236" s="19"/>
      <c r="F236" s="27"/>
      <c r="G236" s="960" t="str">
        <f>IF(AND(E236="",F236&lt;&gt;""),"Ne pas oublier d'inscrire si le montant est pressenti ou confirmé","")</f>
        <v/>
      </c>
      <c r="H236" s="961"/>
      <c r="I236" s="26"/>
      <c r="J236" s="744">
        <f>IF(RAPPORT_FINAL_Calendrier!$L$70=0,0,IF(I236="","",(I236-F236)))</f>
        <v>0</v>
      </c>
      <c r="K236" s="998"/>
      <c r="L236" s="999"/>
      <c r="M236" s="119"/>
      <c r="O236" s="370"/>
      <c r="P236" s="348"/>
    </row>
    <row r="237" spans="2:17" ht="30" customHeight="1" x14ac:dyDescent="0.35">
      <c r="B237" s="118"/>
      <c r="C237" s="992" t="s">
        <v>428</v>
      </c>
      <c r="D237" s="993"/>
      <c r="E237" s="740" t="str">
        <f>IF(E228="","",IF(E228="Non","","Confirmé"))</f>
        <v/>
      </c>
      <c r="F237" s="741" t="str">
        <f>IF(E228="oui",G228*K228,"")</f>
        <v/>
      </c>
      <c r="G237" s="1009"/>
      <c r="H237" s="1010"/>
      <c r="I237" s="743" t="str">
        <f>IF(E237="Confirmé",F237,"")</f>
        <v/>
      </c>
      <c r="J237" s="743">
        <f>IF(RAPPORT_FINAL_Calendrier!$L$70=0,0,IF(I237="","",(I237-F237)))</f>
        <v>0</v>
      </c>
      <c r="K237" s="996"/>
      <c r="L237" s="997"/>
      <c r="M237" s="119"/>
      <c r="O237" s="325"/>
      <c r="P237" s="348"/>
    </row>
    <row r="238" spans="2:17" ht="30" customHeight="1" x14ac:dyDescent="0.35">
      <c r="B238" s="118"/>
      <c r="C238" s="988" t="s">
        <v>427</v>
      </c>
      <c r="D238" s="989"/>
      <c r="E238" s="19"/>
      <c r="F238" s="27"/>
      <c r="G238" s="960" t="str">
        <f t="shared" ref="G238:G244" si="0">IF(AND(E238="",F238&lt;&gt;""),"Ne pas oublier d'inscrire si le montant est pressenti ou confirmé","")</f>
        <v/>
      </c>
      <c r="H238" s="961"/>
      <c r="I238" s="26"/>
      <c r="J238" s="744">
        <f>IF(RAPPORT_FINAL_Calendrier!$L$70=0,0,IF(I238="","",(I238-F238)))</f>
        <v>0</v>
      </c>
      <c r="K238" s="998"/>
      <c r="L238" s="999"/>
      <c r="M238" s="119"/>
      <c r="O238" s="370"/>
      <c r="P238" s="348"/>
    </row>
    <row r="239" spans="2:17" ht="30" customHeight="1" x14ac:dyDescent="0.35">
      <c r="B239" s="118"/>
      <c r="C239" s="988" t="s">
        <v>431</v>
      </c>
      <c r="D239" s="989"/>
      <c r="E239" s="19"/>
      <c r="F239" s="27"/>
      <c r="G239" s="960" t="str">
        <f t="shared" si="0"/>
        <v/>
      </c>
      <c r="H239" s="961"/>
      <c r="I239" s="26"/>
      <c r="J239" s="736">
        <f>IF(RAPPORT_FINAL_Calendrier!$L$70=0,0,IF(I239="","",(I239-F239)))</f>
        <v>0</v>
      </c>
      <c r="K239" s="945"/>
      <c r="L239" s="946"/>
      <c r="M239" s="119"/>
      <c r="O239" s="370"/>
      <c r="P239" s="348"/>
    </row>
    <row r="240" spans="2:17" ht="30" customHeight="1" x14ac:dyDescent="0.35">
      <c r="B240" s="118"/>
      <c r="C240" s="988" t="s">
        <v>432</v>
      </c>
      <c r="D240" s="989"/>
      <c r="E240" s="19"/>
      <c r="F240" s="27"/>
      <c r="G240" s="960" t="str">
        <f t="shared" si="0"/>
        <v/>
      </c>
      <c r="H240" s="961"/>
      <c r="I240" s="26"/>
      <c r="J240" s="736">
        <f>IF(RAPPORT_FINAL_Calendrier!$L$70=0,0,IF(I240="","",(I240-F240)))</f>
        <v>0</v>
      </c>
      <c r="K240" s="945"/>
      <c r="L240" s="946"/>
      <c r="M240" s="119"/>
      <c r="O240" s="370"/>
      <c r="P240" s="348"/>
    </row>
    <row r="241" spans="2:16" ht="30" customHeight="1" x14ac:dyDescent="0.35">
      <c r="B241" s="118"/>
      <c r="C241" s="988" t="s">
        <v>664</v>
      </c>
      <c r="D241" s="989"/>
      <c r="E241" s="19"/>
      <c r="F241" s="27"/>
      <c r="G241" s="960" t="str">
        <f t="shared" ref="G241" si="1">IF(AND(E241="",F241&lt;&gt;""),"Ne pas oublier d'inscrire si le montant est pressenti ou confirmé","")</f>
        <v/>
      </c>
      <c r="H241" s="961"/>
      <c r="I241" s="26"/>
      <c r="J241" s="736">
        <f>IF(RAPPORT_FINAL_Calendrier!$L$70=0,0,IF(I241="","",(I241-F241)))</f>
        <v>0</v>
      </c>
      <c r="K241" s="945"/>
      <c r="L241" s="946"/>
      <c r="M241" s="119"/>
      <c r="O241" s="370"/>
      <c r="P241" s="348"/>
    </row>
    <row r="242" spans="2:16" ht="26.5" customHeight="1" x14ac:dyDescent="0.35">
      <c r="B242" s="118"/>
      <c r="C242" s="950" t="s">
        <v>511</v>
      </c>
      <c r="D242" s="951"/>
      <c r="E242" s="20"/>
      <c r="F242" s="25"/>
      <c r="G242" s="960" t="str">
        <f t="shared" si="0"/>
        <v/>
      </c>
      <c r="H242" s="961"/>
      <c r="I242" s="26"/>
      <c r="J242" s="736">
        <f>IF(RAPPORT_FINAL_Calendrier!$L$70=0,0,IF(I242="","",(I242-F242)))</f>
        <v>0</v>
      </c>
      <c r="K242" s="945"/>
      <c r="L242" s="946"/>
      <c r="M242" s="119"/>
    </row>
    <row r="243" spans="2:16" ht="26" customHeight="1" x14ac:dyDescent="0.35">
      <c r="B243" s="118"/>
      <c r="C243" s="371" t="s">
        <v>641</v>
      </c>
      <c r="D243" s="58"/>
      <c r="E243" s="20"/>
      <c r="F243" s="25"/>
      <c r="G243" s="960" t="str">
        <f t="shared" si="0"/>
        <v/>
      </c>
      <c r="H243" s="961"/>
      <c r="I243" s="26"/>
      <c r="J243" s="736">
        <f>IF(RAPPORT_FINAL_Calendrier!$L$70=0,0,IF(I243="","",(I243-F243)))</f>
        <v>0</v>
      </c>
      <c r="K243" s="945"/>
      <c r="L243" s="946"/>
      <c r="M243" s="119"/>
    </row>
    <row r="244" spans="2:16" ht="26" customHeight="1" x14ac:dyDescent="0.35">
      <c r="B244" s="118"/>
      <c r="C244" s="371" t="s">
        <v>641</v>
      </c>
      <c r="D244" s="58"/>
      <c r="E244" s="20"/>
      <c r="F244" s="25"/>
      <c r="G244" s="960" t="str">
        <f t="shared" si="0"/>
        <v/>
      </c>
      <c r="H244" s="961"/>
      <c r="I244" s="26"/>
      <c r="J244" s="736">
        <f>IF(RAPPORT_FINAL_Calendrier!$L$70=0,0,IF(I244="","",(I244-F244)))</f>
        <v>0</v>
      </c>
      <c r="K244" s="945"/>
      <c r="L244" s="946"/>
      <c r="M244" s="119"/>
    </row>
    <row r="245" spans="2:16" ht="20.149999999999999" customHeight="1" x14ac:dyDescent="0.35">
      <c r="B245" s="118"/>
      <c r="C245" s="986" t="s">
        <v>433</v>
      </c>
      <c r="D245" s="987"/>
      <c r="E245" s="358"/>
      <c r="F245" s="366">
        <f>SUM(F247:F250)</f>
        <v>0</v>
      </c>
      <c r="G245" s="363"/>
      <c r="H245" s="364"/>
      <c r="I245" s="366">
        <f>SUM(I247:I250)</f>
        <v>0</v>
      </c>
      <c r="J245" s="366">
        <f>SUM(J247:J250)</f>
        <v>0</v>
      </c>
      <c r="K245" s="367"/>
      <c r="L245" s="368"/>
      <c r="M245" s="119"/>
    </row>
    <row r="246" spans="2:16" ht="43" customHeight="1" x14ac:dyDescent="0.35">
      <c r="B246" s="118"/>
      <c r="C246" s="1019" t="s">
        <v>660</v>
      </c>
      <c r="D246" s="1020"/>
      <c r="E246" s="372"/>
      <c r="F246" s="372"/>
      <c r="G246" s="1015"/>
      <c r="H246" s="1016"/>
      <c r="I246" s="372"/>
      <c r="J246" s="372"/>
      <c r="K246" s="1021"/>
      <c r="L246" s="1022"/>
      <c r="M246" s="119"/>
      <c r="O246" s="373"/>
    </row>
    <row r="247" spans="2:16" ht="34" customHeight="1" x14ac:dyDescent="0.35">
      <c r="B247" s="118"/>
      <c r="C247" s="950" t="s">
        <v>429</v>
      </c>
      <c r="D247" s="951"/>
      <c r="E247" s="20"/>
      <c r="F247" s="25"/>
      <c r="G247" s="960" t="str">
        <f>IF(AND(E247="",F247&lt;&gt;""),"Ne pas oublier d'inscrire si le montant est pressenti ou confirmé","")</f>
        <v/>
      </c>
      <c r="H247" s="961"/>
      <c r="I247" s="26"/>
      <c r="J247" s="736">
        <f>IF(RAPPORT_FINAL_Calendrier!$L$70=0,0,IF(I247="","",(I247-F247)))</f>
        <v>0</v>
      </c>
      <c r="K247" s="945"/>
      <c r="L247" s="946"/>
      <c r="M247" s="119"/>
    </row>
    <row r="248" spans="2:16" ht="34" customHeight="1" x14ac:dyDescent="0.35">
      <c r="B248" s="118"/>
      <c r="C248" s="950" t="s">
        <v>430</v>
      </c>
      <c r="D248" s="951"/>
      <c r="E248" s="20"/>
      <c r="F248" s="25"/>
      <c r="G248" s="960" t="str">
        <f>IF(AND(E248="",F248&lt;&gt;""),"Ne pas oublier d'inscrire si le montant est pressenti ou confirmé","")</f>
        <v/>
      </c>
      <c r="H248" s="961"/>
      <c r="I248" s="26"/>
      <c r="J248" s="736">
        <f>IF(RAPPORT_FINAL_Calendrier!$L$70=0,0,IF(I248="","",(I248-F248)))</f>
        <v>0</v>
      </c>
      <c r="K248" s="945"/>
      <c r="L248" s="946"/>
      <c r="M248" s="119"/>
    </row>
    <row r="249" spans="2:16" ht="34" customHeight="1" x14ac:dyDescent="0.35">
      <c r="B249" s="118"/>
      <c r="C249" s="371" t="s">
        <v>818</v>
      </c>
      <c r="D249" s="58"/>
      <c r="E249" s="20"/>
      <c r="F249" s="25"/>
      <c r="G249" s="960" t="str">
        <f>IF(AND(E249="",F249&lt;&gt;""),"Ne pas oublier d'inscrire si le montant est pressenti ou confirmé","")</f>
        <v/>
      </c>
      <c r="H249" s="961"/>
      <c r="I249" s="26"/>
      <c r="J249" s="736">
        <f>IF(RAPPORT_FINAL_Calendrier!$L$70=0,0,IF(I249="","",(I249-F249)))</f>
        <v>0</v>
      </c>
      <c r="K249" s="945"/>
      <c r="L249" s="946"/>
      <c r="M249" s="119"/>
    </row>
    <row r="250" spans="2:16" ht="32.5" customHeight="1" x14ac:dyDescent="0.35">
      <c r="B250" s="118"/>
      <c r="C250" s="371" t="s">
        <v>641</v>
      </c>
      <c r="D250" s="58"/>
      <c r="E250" s="20"/>
      <c r="F250" s="25"/>
      <c r="G250" s="960" t="str">
        <f>IF(AND(E250="",F250&lt;&gt;""),"Ne pas oublier d'inscrire si le montant est pressenti ou confirmé","")</f>
        <v/>
      </c>
      <c r="H250" s="961"/>
      <c r="I250" s="26"/>
      <c r="J250" s="736">
        <f>IF(RAPPORT_FINAL_Calendrier!$L$70=0,0,IF(I250="","",(I250-F250)))</f>
        <v>0</v>
      </c>
      <c r="K250" s="945"/>
      <c r="L250" s="946"/>
      <c r="M250" s="119"/>
    </row>
    <row r="251" spans="2:16" ht="20.149999999999999" customHeight="1" x14ac:dyDescent="0.35">
      <c r="B251" s="118"/>
      <c r="C251" s="986" t="s">
        <v>663</v>
      </c>
      <c r="D251" s="987"/>
      <c r="E251" s="358"/>
      <c r="F251" s="366">
        <f>SUM(F252:F253)</f>
        <v>0</v>
      </c>
      <c r="G251" s="363"/>
      <c r="H251" s="364"/>
      <c r="I251" s="366">
        <f t="shared" ref="I251:J251" si="2">SUM(I252:I253)</f>
        <v>0</v>
      </c>
      <c r="J251" s="366">
        <f t="shared" si="2"/>
        <v>0</v>
      </c>
      <c r="K251" s="367"/>
      <c r="L251" s="368"/>
      <c r="M251" s="119"/>
    </row>
    <row r="252" spans="2:16" ht="32.5" customHeight="1" x14ac:dyDescent="0.35">
      <c r="B252" s="118"/>
      <c r="C252" s="371" t="s">
        <v>665</v>
      </c>
      <c r="D252" s="58"/>
      <c r="E252" s="20"/>
      <c r="F252" s="25"/>
      <c r="G252" s="960" t="str">
        <f>IF(AND(E252="",F252&lt;&gt;""),"Ne pas oublier d'inscrire si le montant est pressenti ou confirmé","")</f>
        <v/>
      </c>
      <c r="H252" s="961"/>
      <c r="I252" s="365"/>
      <c r="J252" s="736">
        <f>IF(RAPPORT_FINAL_Calendrier!$L$70=0,0,IF(I252="","",(I252-F252)))</f>
        <v>0</v>
      </c>
      <c r="K252" s="1017"/>
      <c r="L252" s="1018"/>
      <c r="M252" s="119"/>
    </row>
    <row r="253" spans="2:16" ht="32.5" customHeight="1" x14ac:dyDescent="0.35">
      <c r="B253" s="118"/>
      <c r="C253" s="371" t="s">
        <v>665</v>
      </c>
      <c r="D253" s="58"/>
      <c r="E253" s="20"/>
      <c r="F253" s="25"/>
      <c r="G253" s="960" t="str">
        <f>IF(AND(E253="",F253&lt;&gt;""),"Ne pas oublier d'inscrire si le montant est pressenti ou confirmé","")</f>
        <v/>
      </c>
      <c r="H253" s="961"/>
      <c r="I253" s="365"/>
      <c r="J253" s="736">
        <f>IF(RAPPORT_FINAL_Calendrier!$L$70=0,0,IF(I253="","",(I253-F253)))</f>
        <v>0</v>
      </c>
      <c r="K253" s="1017"/>
      <c r="L253" s="1018"/>
      <c r="M253" s="119"/>
    </row>
    <row r="254" spans="2:16" ht="20.149999999999999" customHeight="1" x14ac:dyDescent="0.35">
      <c r="B254" s="118"/>
      <c r="C254" s="986" t="s">
        <v>435</v>
      </c>
      <c r="D254" s="987"/>
      <c r="E254" s="358"/>
      <c r="F254" s="366">
        <f>SUM(F255:F260)</f>
        <v>0</v>
      </c>
      <c r="G254" s="363"/>
      <c r="H254" s="364"/>
      <c r="I254" s="366">
        <f>SUM(I255:I260)</f>
        <v>0</v>
      </c>
      <c r="J254" s="366">
        <f>SUM(J255:J260)</f>
        <v>0</v>
      </c>
      <c r="K254" s="367"/>
      <c r="L254" s="368"/>
      <c r="M254" s="119"/>
    </row>
    <row r="255" spans="2:16" ht="26" customHeight="1" x14ac:dyDescent="0.35">
      <c r="B255" s="118"/>
      <c r="C255" s="950" t="s">
        <v>602</v>
      </c>
      <c r="D255" s="951"/>
      <c r="E255" s="745" t="str">
        <f>IF(RAPPORT_FINAL_Calendrier!L70&gt;0,"Confirmé",IF(DEMANDE_Calendrier_Tournée!L72&gt;0,"Confirmé",""))</f>
        <v/>
      </c>
      <c r="F255" s="742">
        <f>IF(DEMANDE_Calendrier_Tournée!L72=0,0,DEMANDE_Calendrier_Tournée!L72)</f>
        <v>0</v>
      </c>
      <c r="G255" s="369"/>
      <c r="H255" s="374"/>
      <c r="I255" s="312" t="str">
        <f>IF(RAPPORT_FINAL_Calendrier!L70=0,"",IF(RAPPORT_FINAL_Calendrier!M92=0,RAPPORT_FINAL_Calendrier!M70,RAPPORT_FINAL_Calendrier!M70+RAPPORT_FINAL_Calendrier!M92))</f>
        <v/>
      </c>
      <c r="J255" s="736">
        <f>IF(RAPPORT_FINAL_Calendrier!$L$70=0,0,IF(I255="","",(I255-F255)))</f>
        <v>0</v>
      </c>
      <c r="K255" s="945"/>
      <c r="L255" s="946"/>
      <c r="M255" s="119"/>
    </row>
    <row r="256" spans="2:16" ht="26" customHeight="1" x14ac:dyDescent="0.35">
      <c r="B256" s="118"/>
      <c r="C256" s="950" t="s">
        <v>661</v>
      </c>
      <c r="D256" s="951"/>
      <c r="E256" s="745" t="str">
        <f>IF(RAPPORT_FINAL_Calendrier!L70&gt;0,"Confirmé",IF(DEMANDE_Calendrier_Tournée!M72&gt;0,"Pressenti",""))</f>
        <v/>
      </c>
      <c r="F256" s="742">
        <f>IF(DEMANDE_Calendrier_Tournée!M72=0,0,DEMANDE_Calendrier_Tournée!M72)</f>
        <v>0</v>
      </c>
      <c r="G256" s="369"/>
      <c r="H256" s="374"/>
      <c r="I256" s="365" t="str">
        <f>IF(RAPPORT_FINAL_Calendrier!L70=0,"",IF(RAPPORT_FINAL_Calendrier!N92=0,RAPPORT_FINAL_Calendrier!N70,RAPPORT_FINAL_Calendrier!N92+RAPPORT_FINAL_Calendrier!N70))</f>
        <v/>
      </c>
      <c r="J256" s="736">
        <f>IF(RAPPORT_FINAL_Calendrier!$L$70=0,0,IF(I256="","",(I256-F256)))</f>
        <v>0</v>
      </c>
      <c r="K256" s="945"/>
      <c r="L256" s="946"/>
      <c r="M256" s="119"/>
    </row>
    <row r="257" spans="2:19" ht="26" customHeight="1" x14ac:dyDescent="0.35">
      <c r="B257" s="118"/>
      <c r="C257" s="950" t="s">
        <v>437</v>
      </c>
      <c r="D257" s="951"/>
      <c r="E257" s="20"/>
      <c r="F257" s="25"/>
      <c r="G257" s="960" t="str">
        <f>IF(AND(E257="",F257&lt;&gt;""),"Ne pas oublier d'inscrire si le montant est pressenti ou confirmé","")</f>
        <v/>
      </c>
      <c r="H257" s="961"/>
      <c r="I257" s="26"/>
      <c r="J257" s="736">
        <f>IF(RAPPORT_FINAL_Calendrier!$L$70=0,0,IF(I257="","",(I257-F257)))</f>
        <v>0</v>
      </c>
      <c r="K257" s="945"/>
      <c r="L257" s="946"/>
      <c r="M257" s="119"/>
    </row>
    <row r="258" spans="2:19" ht="26" customHeight="1" x14ac:dyDescent="0.35">
      <c r="B258" s="118"/>
      <c r="C258" s="950" t="s">
        <v>438</v>
      </c>
      <c r="D258" s="951"/>
      <c r="E258" s="20"/>
      <c r="F258" s="25"/>
      <c r="G258" s="960" t="str">
        <f>IF(AND(E258="",F258&lt;&gt;""),"Ne pas oublier d'inscrire si le montant est pressenti ou confirmé","")</f>
        <v/>
      </c>
      <c r="H258" s="961"/>
      <c r="I258" s="26"/>
      <c r="J258" s="736">
        <f>IF(RAPPORT_FINAL_Calendrier!$L$70=0,0,IF(I258="","",(I258-F258)))</f>
        <v>0</v>
      </c>
      <c r="K258" s="945"/>
      <c r="L258" s="946"/>
      <c r="M258" s="119"/>
    </row>
    <row r="259" spans="2:19" ht="26" customHeight="1" x14ac:dyDescent="0.35">
      <c r="B259" s="118"/>
      <c r="C259" s="371" t="s">
        <v>641</v>
      </c>
      <c r="D259" s="58"/>
      <c r="E259" s="20"/>
      <c r="F259" s="25"/>
      <c r="G259" s="960" t="str">
        <f>IF(AND(E259="",F259&lt;&gt;""),"Ne pas oublier d'inscrire si le montant est pressenti ou confirmé","")</f>
        <v/>
      </c>
      <c r="H259" s="961"/>
      <c r="I259" s="26"/>
      <c r="J259" s="736">
        <f>IF(RAPPORT_FINAL_Calendrier!$L$70=0,0,IF(I259="","",(I259-F259)))</f>
        <v>0</v>
      </c>
      <c r="K259" s="945"/>
      <c r="L259" s="946"/>
      <c r="M259" s="119"/>
    </row>
    <row r="260" spans="2:19" ht="26" customHeight="1" x14ac:dyDescent="0.35">
      <c r="B260" s="118"/>
      <c r="C260" s="371" t="s">
        <v>641</v>
      </c>
      <c r="D260" s="58"/>
      <c r="E260" s="53"/>
      <c r="F260" s="25"/>
      <c r="G260" s="960" t="str">
        <f>IF(AND(E260="",F260&lt;&gt;""),"Ne pas oublier d'inscrire si le montant est pressenti ou confirmé","")</f>
        <v/>
      </c>
      <c r="H260" s="961"/>
      <c r="I260" s="24"/>
      <c r="J260" s="736">
        <f>IF(RAPPORT_FINAL_Calendrier!$L$70=0,0,IF(I260="","",(I260-F260)))</f>
        <v>0</v>
      </c>
      <c r="K260" s="944"/>
      <c r="L260" s="944"/>
      <c r="M260" s="119"/>
      <c r="O260" s="674" t="s">
        <v>66</v>
      </c>
    </row>
    <row r="261" spans="2:19" s="1" customFormat="1" x14ac:dyDescent="0.3">
      <c r="B261" s="171"/>
      <c r="F261" s="375"/>
      <c r="M261" s="326"/>
      <c r="P261" s="229"/>
    </row>
    <row r="262" spans="2:19" s="1" customFormat="1" ht="28" customHeight="1" x14ac:dyDescent="0.3">
      <c r="B262" s="171"/>
      <c r="C262" s="958" t="s">
        <v>749</v>
      </c>
      <c r="D262" s="958"/>
      <c r="E262" s="959"/>
      <c r="F262" s="337">
        <f>SUM(F254,F251,F245,F234,F233)</f>
        <v>0</v>
      </c>
      <c r="G262" s="376"/>
      <c r="H262" s="377"/>
      <c r="I262" s="378">
        <f t="shared" ref="I262:J262" si="3">SUM(I254,I251,I245,I234,I233)</f>
        <v>0</v>
      </c>
      <c r="J262" s="378">
        <f t="shared" si="3"/>
        <v>0</v>
      </c>
      <c r="K262" s="379"/>
      <c r="L262" s="380"/>
      <c r="M262" s="326"/>
      <c r="O262" s="324"/>
      <c r="P262" s="229"/>
    </row>
    <row r="263" spans="2:19" s="1" customFormat="1" ht="14.5" thickBot="1" x14ac:dyDescent="0.35">
      <c r="B263" s="171"/>
      <c r="F263" s="375"/>
      <c r="M263" s="326"/>
      <c r="P263" s="229"/>
    </row>
    <row r="264" spans="2:19" s="1" customFormat="1" ht="62" customHeight="1" thickBot="1" x14ac:dyDescent="0.35">
      <c r="B264" s="171"/>
      <c r="C264" s="947" t="s">
        <v>825</v>
      </c>
      <c r="D264" s="948"/>
      <c r="E264" s="948"/>
      <c r="F264" s="948"/>
      <c r="G264" s="948"/>
      <c r="H264" s="948"/>
      <c r="I264" s="948"/>
      <c r="J264" s="948"/>
      <c r="K264" s="948"/>
      <c r="L264" s="949"/>
      <c r="M264" s="326"/>
      <c r="O264" s="381"/>
      <c r="P264" s="229"/>
    </row>
    <row r="265" spans="2:19" ht="10" customHeight="1" thickBot="1" x14ac:dyDescent="0.35">
      <c r="B265" s="193"/>
      <c r="C265" s="247"/>
      <c r="D265" s="247"/>
      <c r="E265" s="247"/>
      <c r="F265" s="246"/>
      <c r="G265" s="247"/>
      <c r="H265" s="247"/>
      <c r="I265" s="195"/>
      <c r="J265" s="195"/>
      <c r="K265" s="195"/>
      <c r="L265" s="195"/>
      <c r="M265" s="382"/>
    </row>
    <row r="266" spans="2:19" ht="14" customHeight="1" thickBot="1" x14ac:dyDescent="0.35">
      <c r="B266" s="383"/>
      <c r="C266" s="124"/>
      <c r="D266" s="124"/>
      <c r="E266" s="124"/>
      <c r="F266" s="186"/>
      <c r="G266" s="124"/>
      <c r="H266" s="124"/>
      <c r="M266" s="383"/>
    </row>
    <row r="267" spans="2:19" ht="10" customHeight="1" x14ac:dyDescent="0.35">
      <c r="B267" s="111"/>
      <c r="C267" s="114"/>
      <c r="D267" s="114"/>
      <c r="E267" s="114"/>
      <c r="F267" s="250"/>
      <c r="G267" s="114"/>
      <c r="H267" s="114"/>
      <c r="I267" s="115"/>
      <c r="J267" s="115"/>
      <c r="K267" s="115"/>
      <c r="L267" s="115"/>
      <c r="M267" s="201"/>
      <c r="P267" s="384"/>
      <c r="Q267" s="384"/>
      <c r="R267" s="384"/>
      <c r="S267" s="385"/>
    </row>
    <row r="268" spans="2:19" ht="40" customHeight="1" x14ac:dyDescent="0.35">
      <c r="B268" s="118"/>
      <c r="C268" s="1012" t="s">
        <v>753</v>
      </c>
      <c r="D268" s="1012"/>
      <c r="E268" s="1012"/>
      <c r="F268" s="1012"/>
      <c r="G268" s="1012"/>
      <c r="H268" s="1012"/>
      <c r="I268" s="1012"/>
      <c r="J268" s="1012"/>
      <c r="K268" s="1012"/>
      <c r="L268" s="1012"/>
      <c r="M268" s="126"/>
      <c r="P268" s="384"/>
      <c r="Q268" s="384"/>
      <c r="R268" s="384"/>
      <c r="S268" s="385"/>
    </row>
    <row r="269" spans="2:19" ht="49" customHeight="1" x14ac:dyDescent="0.35">
      <c r="B269" s="118"/>
      <c r="C269" s="964" t="s">
        <v>851</v>
      </c>
      <c r="D269" s="964"/>
      <c r="E269" s="964"/>
      <c r="F269" s="964"/>
      <c r="G269" s="964"/>
      <c r="H269" s="964"/>
      <c r="I269" s="964"/>
      <c r="J269" s="964"/>
      <c r="K269" s="964"/>
      <c r="L269" s="964"/>
      <c r="M269" s="126"/>
      <c r="P269" s="384"/>
      <c r="Q269" s="384"/>
      <c r="R269" s="384"/>
      <c r="S269" s="385"/>
    </row>
    <row r="270" spans="2:19" ht="26" customHeight="1" x14ac:dyDescent="0.35">
      <c r="B270" s="118"/>
      <c r="C270" s="386" t="s">
        <v>754</v>
      </c>
      <c r="D270" s="1013" t="s">
        <v>765</v>
      </c>
      <c r="E270" s="1013"/>
      <c r="F270" s="1013"/>
      <c r="G270" s="1014" t="s">
        <v>770</v>
      </c>
      <c r="H270" s="1014"/>
      <c r="M270" s="126"/>
      <c r="P270" s="384"/>
      <c r="Q270" s="384"/>
      <c r="R270" s="384"/>
      <c r="S270" s="385"/>
    </row>
    <row r="271" spans="2:19" ht="26" customHeight="1" x14ac:dyDescent="0.35">
      <c r="B271" s="118"/>
      <c r="C271" s="386" t="s">
        <v>755</v>
      </c>
      <c r="D271" s="1013" t="s">
        <v>766</v>
      </c>
      <c r="E271" s="1013"/>
      <c r="F271" s="1013"/>
      <c r="G271" s="1014" t="s">
        <v>771</v>
      </c>
      <c r="H271" s="1014"/>
      <c r="I271" s="370"/>
      <c r="M271" s="126"/>
      <c r="P271" s="384"/>
      <c r="Q271" s="384"/>
      <c r="R271" s="384"/>
      <c r="S271" s="385"/>
    </row>
    <row r="272" spans="2:19" ht="26" customHeight="1" x14ac:dyDescent="0.35">
      <c r="B272" s="118"/>
      <c r="C272" s="386" t="s">
        <v>756</v>
      </c>
      <c r="D272" s="1013" t="s">
        <v>767</v>
      </c>
      <c r="E272" s="1013"/>
      <c r="F272" s="1013"/>
      <c r="G272" s="1014" t="s">
        <v>772</v>
      </c>
      <c r="H272" s="1014"/>
      <c r="I272" s="1014"/>
      <c r="J272" s="1014"/>
      <c r="M272" s="126"/>
      <c r="P272" s="384"/>
      <c r="Q272" s="384"/>
      <c r="R272" s="384"/>
      <c r="S272" s="385"/>
    </row>
    <row r="273" spans="2:20" ht="26" customHeight="1" x14ac:dyDescent="0.35">
      <c r="B273" s="118"/>
      <c r="C273" s="386" t="s">
        <v>757</v>
      </c>
      <c r="D273" s="1013" t="s">
        <v>768</v>
      </c>
      <c r="E273" s="1013"/>
      <c r="F273" s="1013"/>
      <c r="G273" s="1014" t="s">
        <v>826</v>
      </c>
      <c r="H273" s="1014"/>
      <c r="I273" s="1014"/>
      <c r="J273" s="1014"/>
      <c r="M273" s="126"/>
      <c r="P273" s="384"/>
      <c r="Q273" s="384"/>
      <c r="R273" s="384"/>
      <c r="S273" s="385"/>
    </row>
    <row r="274" spans="2:20" ht="26" customHeight="1" x14ac:dyDescent="0.35">
      <c r="B274" s="118"/>
      <c r="C274" s="386" t="s">
        <v>758</v>
      </c>
      <c r="D274" s="1013" t="s">
        <v>769</v>
      </c>
      <c r="E274" s="1013"/>
      <c r="F274" s="1013"/>
      <c r="G274" s="1014" t="s">
        <v>773</v>
      </c>
      <c r="H274" s="1014"/>
      <c r="I274" s="1014"/>
      <c r="J274" s="1014"/>
      <c r="K274" s="1014"/>
      <c r="L274" s="1014"/>
      <c r="M274" s="126"/>
      <c r="P274" s="384"/>
      <c r="Q274" s="384"/>
      <c r="R274" s="384"/>
      <c r="S274" s="385"/>
    </row>
    <row r="275" spans="2:20" ht="16" customHeight="1" x14ac:dyDescent="0.35">
      <c r="B275" s="118"/>
      <c r="C275" s="124"/>
      <c r="D275" s="124"/>
      <c r="E275" s="124"/>
      <c r="F275" s="186"/>
      <c r="G275" s="124"/>
      <c r="H275" s="124"/>
      <c r="M275" s="126"/>
    </row>
    <row r="276" spans="2:20" ht="40" customHeight="1" x14ac:dyDescent="0.35">
      <c r="B276" s="118"/>
      <c r="C276" s="952" t="s">
        <v>76</v>
      </c>
      <c r="D276" s="953"/>
      <c r="E276" s="953"/>
      <c r="F276" s="953"/>
      <c r="G276" s="953"/>
      <c r="H276" s="953"/>
      <c r="I276" s="953"/>
      <c r="J276" s="953"/>
      <c r="K276" s="953"/>
      <c r="L276" s="953"/>
      <c r="M276" s="126"/>
    </row>
    <row r="277" spans="2:20" ht="10" customHeight="1" thickBot="1" x14ac:dyDescent="0.4">
      <c r="B277" s="207"/>
      <c r="C277" s="388"/>
      <c r="D277" s="388"/>
      <c r="E277" s="388"/>
      <c r="F277" s="389"/>
      <c r="G277" s="388"/>
      <c r="H277" s="388"/>
      <c r="I277" s="195"/>
      <c r="J277" s="195"/>
      <c r="K277" s="195"/>
      <c r="L277" s="195"/>
      <c r="M277" s="196"/>
      <c r="P277" s="1011" t="s">
        <v>443</v>
      </c>
      <c r="Q277" s="1011"/>
      <c r="R277" s="1011"/>
      <c r="S277" s="1011"/>
    </row>
    <row r="278" spans="2:20" ht="16" thickBot="1" x14ac:dyDescent="0.4">
      <c r="C278" s="391"/>
      <c r="D278" s="391"/>
      <c r="E278" s="391"/>
      <c r="F278" s="392"/>
      <c r="G278" s="391"/>
      <c r="H278" s="391"/>
    </row>
    <row r="279" spans="2:20" ht="10" customHeight="1" x14ac:dyDescent="0.3">
      <c r="B279" s="393"/>
      <c r="C279" s="114"/>
      <c r="D279" s="114"/>
      <c r="E279" s="114"/>
      <c r="F279" s="250"/>
      <c r="G279" s="114"/>
      <c r="H279" s="114"/>
      <c r="I279" s="115"/>
      <c r="J279" s="115"/>
      <c r="K279" s="115"/>
      <c r="L279" s="115"/>
      <c r="M279" s="394"/>
      <c r="P279" s="390" t="s">
        <v>668</v>
      </c>
      <c r="Q279" s="390" t="s">
        <v>668</v>
      </c>
      <c r="R279" s="390" t="s">
        <v>668</v>
      </c>
      <c r="S279" s="390" t="s">
        <v>668</v>
      </c>
      <c r="T279" s="390"/>
    </row>
    <row r="280" spans="2:20" ht="24" customHeight="1" x14ac:dyDescent="0.3">
      <c r="B280" s="171"/>
      <c r="C280" s="844" t="s">
        <v>764</v>
      </c>
      <c r="D280" s="844"/>
      <c r="E280" s="844"/>
      <c r="F280" s="844" t="s">
        <v>441</v>
      </c>
      <c r="G280" s="844"/>
      <c r="H280" s="844"/>
      <c r="I280" s="844"/>
      <c r="J280" s="844"/>
      <c r="K280" s="844"/>
      <c r="L280" s="844"/>
      <c r="M280" s="326"/>
      <c r="O280" s="324"/>
      <c r="P280" s="390" t="s">
        <v>444</v>
      </c>
      <c r="Q280" s="390" t="s">
        <v>445</v>
      </c>
      <c r="R280" s="390" t="s">
        <v>446</v>
      </c>
      <c r="S280" s="390" t="s">
        <v>515</v>
      </c>
    </row>
    <row r="281" spans="2:20" ht="22" customHeight="1" x14ac:dyDescent="0.3">
      <c r="B281" s="171"/>
      <c r="C281" s="943" t="s">
        <v>439</v>
      </c>
      <c r="D281" s="943"/>
      <c r="E281" s="943"/>
      <c r="F281" s="395">
        <f>SUM(E196,E213)</f>
        <v>0</v>
      </c>
      <c r="G281" s="396">
        <f>SUM(I196,I213)</f>
        <v>0</v>
      </c>
      <c r="I281" s="962" t="str">
        <f>IF(DEMANDE_Calendrier_Tournée!Q84="","",DEMANDE_Calendrier_Tournée!Q84)</f>
        <v/>
      </c>
      <c r="J281" s="962"/>
      <c r="K281" s="962"/>
      <c r="L281" s="962"/>
      <c r="M281" s="326"/>
      <c r="O281" s="324"/>
      <c r="P281" s="384" t="s">
        <v>669</v>
      </c>
      <c r="Q281" s="384" t="s">
        <v>442</v>
      </c>
      <c r="R281" s="384" t="s">
        <v>506</v>
      </c>
      <c r="S281" s="384" t="s">
        <v>505</v>
      </c>
    </row>
    <row r="282" spans="2:20" ht="22" customHeight="1" x14ac:dyDescent="0.3">
      <c r="B282" s="171"/>
      <c r="C282" s="943" t="s">
        <v>850</v>
      </c>
      <c r="D282" s="943"/>
      <c r="E282" s="943"/>
      <c r="F282" s="395">
        <f>F262</f>
        <v>0</v>
      </c>
      <c r="G282" s="396">
        <f>I262</f>
        <v>0</v>
      </c>
      <c r="I282" s="962"/>
      <c r="J282" s="962"/>
      <c r="K282" s="962"/>
      <c r="L282" s="962"/>
      <c r="M282" s="326"/>
      <c r="P282" s="384"/>
      <c r="Q282" s="384"/>
      <c r="R282" s="384"/>
      <c r="S282" s="384"/>
    </row>
    <row r="283" spans="2:20" ht="22" customHeight="1" x14ac:dyDescent="0.3">
      <c r="B283" s="171"/>
      <c r="C283" s="943" t="s">
        <v>440</v>
      </c>
      <c r="D283" s="943"/>
      <c r="E283" s="943"/>
      <c r="F283" s="395">
        <f>+F282-F281</f>
        <v>0</v>
      </c>
      <c r="G283" s="396">
        <f>+G282-G281</f>
        <v>0</v>
      </c>
      <c r="I283" s="962"/>
      <c r="J283" s="962"/>
      <c r="K283" s="962"/>
      <c r="L283" s="962"/>
      <c r="M283" s="326"/>
      <c r="P283" s="397">
        <f>IFERROR(SUM(F256+F255+F251+F245+F234),0)</f>
        <v>0</v>
      </c>
      <c r="Q283" s="390">
        <f>+IF(P283&gt;25000,25000,P283)</f>
        <v>0</v>
      </c>
      <c r="R283" s="390">
        <f>IF(Q283&gt;S283,S283,Q283)</f>
        <v>0</v>
      </c>
      <c r="S283" s="390">
        <f>+F196</f>
        <v>0</v>
      </c>
    </row>
    <row r="284" spans="2:20" ht="10" customHeight="1" thickBot="1" x14ac:dyDescent="0.35">
      <c r="B284" s="193"/>
      <c r="C284" s="247"/>
      <c r="D284" s="247"/>
      <c r="E284" s="247"/>
      <c r="F284" s="246"/>
      <c r="G284" s="247"/>
      <c r="H284" s="247"/>
      <c r="I284" s="195"/>
      <c r="J284" s="195"/>
      <c r="K284" s="195"/>
      <c r="L284" s="195"/>
      <c r="M284" s="382"/>
      <c r="P284" s="390" t="s">
        <v>811</v>
      </c>
      <c r="Q284" s="390" t="s">
        <v>811</v>
      </c>
      <c r="R284" s="390" t="s">
        <v>811</v>
      </c>
      <c r="S284" s="390" t="s">
        <v>811</v>
      </c>
    </row>
    <row r="285" spans="2:20" ht="14.15" customHeight="1" thickBot="1" x14ac:dyDescent="0.4">
      <c r="F285" s="325"/>
      <c r="M285" s="62"/>
    </row>
    <row r="286" spans="2:20" ht="10" customHeight="1" x14ac:dyDescent="0.3">
      <c r="B286" s="393"/>
      <c r="C286" s="398"/>
      <c r="D286" s="398"/>
      <c r="E286" s="398"/>
      <c r="F286" s="399"/>
      <c r="G286" s="114"/>
      <c r="H286" s="114"/>
      <c r="I286" s="398"/>
      <c r="J286" s="398"/>
      <c r="K286" s="398"/>
      <c r="L286" s="398"/>
      <c r="M286" s="394"/>
    </row>
    <row r="287" spans="2:20" ht="23.5" customHeight="1" x14ac:dyDescent="0.3">
      <c r="B287" s="171"/>
      <c r="C287" s="954" t="s">
        <v>447</v>
      </c>
      <c r="D287" s="955"/>
      <c r="E287" s="956"/>
      <c r="F287" s="746">
        <f>IF(I281="Vous devez compléter la colonne 1ere partie de l'onglet DEMANDE_Calendrier_Tournée","",IF(I281="La tournée est constituée majoritairement de premières parties",ROUNDDOWN(F196,0),ROUNDDOWN(R283,0)))</f>
        <v>0</v>
      </c>
      <c r="G287" s="747">
        <f>IF(I281="",0,IF(I281="La tournée est constituée majoritairement de premières parties",ROUNDDOWN(J196,0),ROUNDDOWN(R291,0)))</f>
        <v>0</v>
      </c>
      <c r="I287" s="653"/>
      <c r="J287" s="653"/>
      <c r="K287" s="653"/>
      <c r="L287" s="653"/>
      <c r="M287" s="326"/>
      <c r="O287" s="324"/>
      <c r="P287" s="397">
        <f>IFERROR(SUM(F256+F255+F251+F245+F234),0)</f>
        <v>0</v>
      </c>
      <c r="Q287" s="390">
        <f>+IF(P287&gt;25000,25000,P287)</f>
        <v>0</v>
      </c>
      <c r="R287" s="390">
        <f>IF(Q287&gt;S287,S287,Q287)</f>
        <v>0</v>
      </c>
      <c r="S287" s="390">
        <f>G196</f>
        <v>0</v>
      </c>
    </row>
    <row r="288" spans="2:20" ht="36" customHeight="1" x14ac:dyDescent="0.3">
      <c r="B288" s="171"/>
      <c r="C288" s="957" t="s">
        <v>24</v>
      </c>
      <c r="D288" s="957"/>
      <c r="E288" s="957"/>
      <c r="F288" s="54"/>
      <c r="G288" s="124"/>
      <c r="H288" s="963" t="str">
        <f>IF(F288="","Assurez-vous d'inscrire le montant demandé à la SODEC","")</f>
        <v>Assurez-vous d'inscrire le montant demandé à la SODEC</v>
      </c>
      <c r="I288" s="963"/>
      <c r="J288" s="963"/>
      <c r="K288" s="963"/>
      <c r="L288" s="963"/>
      <c r="M288" s="326"/>
      <c r="O288" s="324"/>
      <c r="P288" s="390" t="s">
        <v>520</v>
      </c>
      <c r="Q288" s="390" t="s">
        <v>521</v>
      </c>
      <c r="R288" s="390" t="s">
        <v>522</v>
      </c>
      <c r="S288" s="390" t="s">
        <v>523</v>
      </c>
    </row>
    <row r="289" spans="2:19" ht="10" customHeight="1" thickBot="1" x14ac:dyDescent="0.4">
      <c r="B289" s="207"/>
      <c r="C289" s="247"/>
      <c r="D289" s="247"/>
      <c r="E289" s="247"/>
      <c r="F289" s="246"/>
      <c r="G289" s="247"/>
      <c r="H289" s="247"/>
      <c r="I289" s="195"/>
      <c r="J289" s="195"/>
      <c r="K289" s="195"/>
      <c r="L289" s="195"/>
      <c r="M289" s="196"/>
    </row>
    <row r="290" spans="2:19" ht="18.5" customHeight="1" x14ac:dyDescent="0.35">
      <c r="C290" s="124"/>
      <c r="D290" s="124"/>
      <c r="E290" s="124"/>
      <c r="F290" s="186"/>
      <c r="G290" s="124"/>
      <c r="H290" s="124"/>
      <c r="P290" s="390" t="s">
        <v>667</v>
      </c>
      <c r="Q290" s="390" t="s">
        <v>667</v>
      </c>
      <c r="R290" s="390" t="s">
        <v>667</v>
      </c>
      <c r="S290" s="390" t="s">
        <v>667</v>
      </c>
    </row>
    <row r="291" spans="2:19" ht="46" customHeight="1" x14ac:dyDescent="0.35">
      <c r="C291" s="940" t="s">
        <v>774</v>
      </c>
      <c r="D291" s="941"/>
      <c r="E291" s="941"/>
      <c r="F291" s="941"/>
      <c r="G291" s="941"/>
      <c r="H291" s="941"/>
      <c r="I291" s="941"/>
      <c r="J291" s="941"/>
      <c r="K291" s="941"/>
      <c r="L291" s="942"/>
      <c r="M291" s="110"/>
      <c r="P291" s="397">
        <f>IFERROR(SUM(I256+I255+I251+I245+I234),0)</f>
        <v>0</v>
      </c>
      <c r="Q291" s="390">
        <f>IF(P291&gt;25000,25000,P291)</f>
        <v>0</v>
      </c>
      <c r="R291" s="390">
        <f>IF(Q291&gt;S291,S291,Q291)</f>
        <v>0</v>
      </c>
      <c r="S291" s="390">
        <f>IF(J196&gt;I233,I233,J196)</f>
        <v>0</v>
      </c>
    </row>
    <row r="292" spans="2:19" ht="15.5" x14ac:dyDescent="0.35">
      <c r="C292" s="391"/>
      <c r="D292" s="391"/>
      <c r="E292" s="391"/>
      <c r="F292" s="392"/>
      <c r="G292" s="391"/>
      <c r="H292" s="391"/>
    </row>
    <row r="293" spans="2:19" ht="15.5" x14ac:dyDescent="0.35">
      <c r="C293" s="391"/>
      <c r="D293" s="391"/>
      <c r="E293" s="391"/>
      <c r="F293" s="392"/>
      <c r="G293" s="391"/>
      <c r="H293" s="391"/>
      <c r="P293" s="390" t="s">
        <v>812</v>
      </c>
      <c r="Q293" s="390" t="s">
        <v>812</v>
      </c>
      <c r="R293" s="390" t="s">
        <v>812</v>
      </c>
      <c r="S293" s="390" t="s">
        <v>813</v>
      </c>
    </row>
    <row r="295" spans="2:19" x14ac:dyDescent="0.35">
      <c r="P295" s="397">
        <f>IFERROR(SUM(I256+I255+I251+I245+I234),0)</f>
        <v>0</v>
      </c>
      <c r="Q295" s="390">
        <f>IF(P295&gt;25000,25000,P295)</f>
        <v>0</v>
      </c>
      <c r="R295" s="390">
        <f>IF(Q295&gt;S295,S295,Q295)</f>
        <v>0</v>
      </c>
      <c r="S295" s="390">
        <f>IF(J200&gt;I237,I237,J200)</f>
        <v>0</v>
      </c>
    </row>
    <row r="296" spans="2:19" x14ac:dyDescent="0.35">
      <c r="P296" s="397"/>
    </row>
  </sheetData>
  <sheetProtection algorithmName="SHA-512" hashValue="JnrpcHUrC0sLqJE5nRqlhBA9qDCM2wxldcnfS+D+GZroTOCyt1/rszUm7HFkMFG4afeIrStldAOTaAWQLRnmFA==" saltValue="J0aW6kx2wSCUP7/3JRyGfQ==" spinCount="100000" sheet="1" objects="1" scenarios="1" formatRows="0"/>
  <mergeCells count="334">
    <mergeCell ref="C246:D246"/>
    <mergeCell ref="C247:D247"/>
    <mergeCell ref="C248:D248"/>
    <mergeCell ref="K248:L248"/>
    <mergeCell ref="G248:H248"/>
    <mergeCell ref="G249:H249"/>
    <mergeCell ref="C255:D255"/>
    <mergeCell ref="K247:L247"/>
    <mergeCell ref="C254:D254"/>
    <mergeCell ref="K249:L249"/>
    <mergeCell ref="K250:L250"/>
    <mergeCell ref="K255:L255"/>
    <mergeCell ref="G247:H247"/>
    <mergeCell ref="K246:L246"/>
    <mergeCell ref="C256:D256"/>
    <mergeCell ref="G87:H87"/>
    <mergeCell ref="P277:S277"/>
    <mergeCell ref="C268:L268"/>
    <mergeCell ref="D270:F270"/>
    <mergeCell ref="D271:F271"/>
    <mergeCell ref="D272:F272"/>
    <mergeCell ref="D273:F273"/>
    <mergeCell ref="D274:F274"/>
    <mergeCell ref="G270:H270"/>
    <mergeCell ref="G271:H271"/>
    <mergeCell ref="G272:J272"/>
    <mergeCell ref="G273:J273"/>
    <mergeCell ref="G274:L274"/>
    <mergeCell ref="G246:H246"/>
    <mergeCell ref="G234:H234"/>
    <mergeCell ref="K235:L236"/>
    <mergeCell ref="K256:L256"/>
    <mergeCell ref="G250:H250"/>
    <mergeCell ref="C251:D251"/>
    <mergeCell ref="G253:H253"/>
    <mergeCell ref="K253:L253"/>
    <mergeCell ref="G252:H252"/>
    <mergeCell ref="K252:L252"/>
    <mergeCell ref="G239:H239"/>
    <mergeCell ref="G240:H240"/>
    <mergeCell ref="G242:H242"/>
    <mergeCell ref="C211:D211"/>
    <mergeCell ref="I228:J228"/>
    <mergeCell ref="C216:D216"/>
    <mergeCell ref="K231:L231"/>
    <mergeCell ref="C235:D235"/>
    <mergeCell ref="C212:D212"/>
    <mergeCell ref="K212:L212"/>
    <mergeCell ref="G237:H237"/>
    <mergeCell ref="C236:D236"/>
    <mergeCell ref="C234:D234"/>
    <mergeCell ref="G235:H235"/>
    <mergeCell ref="O95:O98"/>
    <mergeCell ref="O192:O195"/>
    <mergeCell ref="C82:F82"/>
    <mergeCell ref="J82:L82"/>
    <mergeCell ref="C233:D233"/>
    <mergeCell ref="G123:J123"/>
    <mergeCell ref="O81:O83"/>
    <mergeCell ref="G95:H95"/>
    <mergeCell ref="G147:L147"/>
    <mergeCell ref="G148:L148"/>
    <mergeCell ref="G149:L149"/>
    <mergeCell ref="J142:L142"/>
    <mergeCell ref="G134:L134"/>
    <mergeCell ref="C137:F137"/>
    <mergeCell ref="J143:L143"/>
    <mergeCell ref="C120:F120"/>
    <mergeCell ref="G132:L132"/>
    <mergeCell ref="G131:L131"/>
    <mergeCell ref="K124:L124"/>
    <mergeCell ref="K120:L120"/>
    <mergeCell ref="J86:K86"/>
    <mergeCell ref="G146:L146"/>
    <mergeCell ref="G145:L145"/>
    <mergeCell ref="C156:L156"/>
    <mergeCell ref="C245:D245"/>
    <mergeCell ref="C241:D241"/>
    <mergeCell ref="C228:D228"/>
    <mergeCell ref="C232:D232"/>
    <mergeCell ref="C239:D239"/>
    <mergeCell ref="C240:D240"/>
    <mergeCell ref="K243:L243"/>
    <mergeCell ref="K244:L244"/>
    <mergeCell ref="C237:D237"/>
    <mergeCell ref="G231:H231"/>
    <mergeCell ref="K241:L241"/>
    <mergeCell ref="G243:H243"/>
    <mergeCell ref="K237:L238"/>
    <mergeCell ref="K239:L239"/>
    <mergeCell ref="K233:L233"/>
    <mergeCell ref="C242:D242"/>
    <mergeCell ref="C238:D238"/>
    <mergeCell ref="G241:H241"/>
    <mergeCell ref="G233:H233"/>
    <mergeCell ref="G244:H244"/>
    <mergeCell ref="K240:L240"/>
    <mergeCell ref="K242:L242"/>
    <mergeCell ref="G236:H236"/>
    <mergeCell ref="G238:H238"/>
    <mergeCell ref="C196:D196"/>
    <mergeCell ref="E189:F189"/>
    <mergeCell ref="C187:L187"/>
    <mergeCell ref="C190:D190"/>
    <mergeCell ref="I189:J189"/>
    <mergeCell ref="K189:L189"/>
    <mergeCell ref="C221:L221"/>
    <mergeCell ref="I226:J226"/>
    <mergeCell ref="C226:D226"/>
    <mergeCell ref="K205:L205"/>
    <mergeCell ref="C194:D194"/>
    <mergeCell ref="K207:L207"/>
    <mergeCell ref="C201:L201"/>
    <mergeCell ref="G204:H204"/>
    <mergeCell ref="C208:D208"/>
    <mergeCell ref="K211:L211"/>
    <mergeCell ref="C213:D213"/>
    <mergeCell ref="C191:L191"/>
    <mergeCell ref="C192:D192"/>
    <mergeCell ref="E212:F212"/>
    <mergeCell ref="E213:F213"/>
    <mergeCell ref="C202:L202"/>
    <mergeCell ref="C207:D207"/>
    <mergeCell ref="C210:D210"/>
    <mergeCell ref="C291:L291"/>
    <mergeCell ref="C282:E282"/>
    <mergeCell ref="C283:E283"/>
    <mergeCell ref="K260:L260"/>
    <mergeCell ref="K257:L257"/>
    <mergeCell ref="K258:L258"/>
    <mergeCell ref="K259:L259"/>
    <mergeCell ref="C264:L264"/>
    <mergeCell ref="C280:L280"/>
    <mergeCell ref="C257:D257"/>
    <mergeCell ref="C276:L276"/>
    <mergeCell ref="C281:E281"/>
    <mergeCell ref="C287:E287"/>
    <mergeCell ref="C288:E288"/>
    <mergeCell ref="C262:E262"/>
    <mergeCell ref="G259:H259"/>
    <mergeCell ref="G260:H260"/>
    <mergeCell ref="I281:L283"/>
    <mergeCell ref="C258:D258"/>
    <mergeCell ref="G257:H257"/>
    <mergeCell ref="G258:H258"/>
    <mergeCell ref="H288:L288"/>
    <mergeCell ref="C269:L269"/>
    <mergeCell ref="D123:F123"/>
    <mergeCell ref="C139:F139"/>
    <mergeCell ref="G139:L139"/>
    <mergeCell ref="G130:L130"/>
    <mergeCell ref="G128:L128"/>
    <mergeCell ref="C130:E130"/>
    <mergeCell ref="C141:F141"/>
    <mergeCell ref="G133:L133"/>
    <mergeCell ref="G189:H189"/>
    <mergeCell ref="C151:F151"/>
    <mergeCell ref="C145:F145"/>
    <mergeCell ref="C166:L166"/>
    <mergeCell ref="C177:L177"/>
    <mergeCell ref="C180:L180"/>
    <mergeCell ref="J141:L141"/>
    <mergeCell ref="J137:K137"/>
    <mergeCell ref="C128:F128"/>
    <mergeCell ref="C163:L163"/>
    <mergeCell ref="C184:L184"/>
    <mergeCell ref="C131:E132"/>
    <mergeCell ref="C91:L91"/>
    <mergeCell ref="K110:L110"/>
    <mergeCell ref="E210:F210"/>
    <mergeCell ref="E211:F211"/>
    <mergeCell ref="E204:F204"/>
    <mergeCell ref="E205:F205"/>
    <mergeCell ref="C206:F206"/>
    <mergeCell ref="E207:F207"/>
    <mergeCell ref="E208:F208"/>
    <mergeCell ref="E209:F209"/>
    <mergeCell ref="K208:L208"/>
    <mergeCell ref="C209:D209"/>
    <mergeCell ref="G102:J102"/>
    <mergeCell ref="G117:J117"/>
    <mergeCell ref="K114:L114"/>
    <mergeCell ref="K105:L105"/>
    <mergeCell ref="G113:J113"/>
    <mergeCell ref="K113:L113"/>
    <mergeCell ref="C112:F112"/>
    <mergeCell ref="C114:F114"/>
    <mergeCell ref="G112:J112"/>
    <mergeCell ref="K112:L112"/>
    <mergeCell ref="K116:L116"/>
    <mergeCell ref="G116:J116"/>
    <mergeCell ref="G42:L42"/>
    <mergeCell ref="G83:H83"/>
    <mergeCell ref="G78:L78"/>
    <mergeCell ref="G110:J110"/>
    <mergeCell ref="C60:L60"/>
    <mergeCell ref="C102:F102"/>
    <mergeCell ref="C103:F103"/>
    <mergeCell ref="K102:L102"/>
    <mergeCell ref="G103:J103"/>
    <mergeCell ref="C108:F108"/>
    <mergeCell ref="C106:F106"/>
    <mergeCell ref="G106:J106"/>
    <mergeCell ref="K106:L106"/>
    <mergeCell ref="J63:L63"/>
    <mergeCell ref="C86:F86"/>
    <mergeCell ref="C105:F105"/>
    <mergeCell ref="C77:F77"/>
    <mergeCell ref="C42:E42"/>
    <mergeCell ref="C43:E43"/>
    <mergeCell ref="K109:L109"/>
    <mergeCell ref="G109:J109"/>
    <mergeCell ref="K103:L103"/>
    <mergeCell ref="C58:F58"/>
    <mergeCell ref="C56:L56"/>
    <mergeCell ref="C83:F83"/>
    <mergeCell ref="G77:L77"/>
    <mergeCell ref="C64:E64"/>
    <mergeCell ref="C69:L69"/>
    <mergeCell ref="C75:L75"/>
    <mergeCell ref="J81:L81"/>
    <mergeCell ref="C78:F78"/>
    <mergeCell ref="C62:E62"/>
    <mergeCell ref="C73:L73"/>
    <mergeCell ref="J84:L85"/>
    <mergeCell ref="J95:L96"/>
    <mergeCell ref="G81:H81"/>
    <mergeCell ref="J87:L87"/>
    <mergeCell ref="C85:F85"/>
    <mergeCell ref="F1:M1"/>
    <mergeCell ref="C19:L19"/>
    <mergeCell ref="C20:L20"/>
    <mergeCell ref="C6:L6"/>
    <mergeCell ref="G22:L22"/>
    <mergeCell ref="C9:L9"/>
    <mergeCell ref="G23:L23"/>
    <mergeCell ref="G24:L24"/>
    <mergeCell ref="G33:L33"/>
    <mergeCell ref="C27:L27"/>
    <mergeCell ref="K4:M4"/>
    <mergeCell ref="G2:M2"/>
    <mergeCell ref="J3:M3"/>
    <mergeCell ref="C35:E35"/>
    <mergeCell ref="G43:I43"/>
    <mergeCell ref="C38:L38"/>
    <mergeCell ref="C79:F79"/>
    <mergeCell ref="C93:F93"/>
    <mergeCell ref="C44:E44"/>
    <mergeCell ref="G114:J114"/>
    <mergeCell ref="C101:F101"/>
    <mergeCell ref="C109:F109"/>
    <mergeCell ref="C110:F110"/>
    <mergeCell ref="G100:J100"/>
    <mergeCell ref="C113:F113"/>
    <mergeCell ref="D122:F122"/>
    <mergeCell ref="C117:F117"/>
    <mergeCell ref="C116:F116"/>
    <mergeCell ref="G121:J121"/>
    <mergeCell ref="G120:J120"/>
    <mergeCell ref="G119:J119"/>
    <mergeCell ref="C119:F119"/>
    <mergeCell ref="C100:F100"/>
    <mergeCell ref="K121:L121"/>
    <mergeCell ref="P6:P7"/>
    <mergeCell ref="J34:L34"/>
    <mergeCell ref="G34:I34"/>
    <mergeCell ref="D12:L12"/>
    <mergeCell ref="D15:L15"/>
    <mergeCell ref="C22:E22"/>
    <mergeCell ref="C23:E23"/>
    <mergeCell ref="C24:E24"/>
    <mergeCell ref="C25:E25"/>
    <mergeCell ref="C33:E33"/>
    <mergeCell ref="C34:E34"/>
    <mergeCell ref="C36:F37"/>
    <mergeCell ref="G36:L37"/>
    <mergeCell ref="G45:L46"/>
    <mergeCell ref="C96:F96"/>
    <mergeCell ref="G31:L31"/>
    <mergeCell ref="C31:E31"/>
    <mergeCell ref="G32:L32"/>
    <mergeCell ref="C40:E40"/>
    <mergeCell ref="G40:L40"/>
    <mergeCell ref="G41:L41"/>
    <mergeCell ref="J62:L62"/>
    <mergeCell ref="G93:H93"/>
    <mergeCell ref="Q95:R95"/>
    <mergeCell ref="C223:L223"/>
    <mergeCell ref="C170:L170"/>
    <mergeCell ref="C173:L173"/>
    <mergeCell ref="C195:D195"/>
    <mergeCell ref="K210:L210"/>
    <mergeCell ref="K209:L209"/>
    <mergeCell ref="K101:L101"/>
    <mergeCell ref="K100:L100"/>
    <mergeCell ref="G105:J105"/>
    <mergeCell ref="K123:L123"/>
    <mergeCell ref="G108:J108"/>
    <mergeCell ref="K108:L108"/>
    <mergeCell ref="G151:L151"/>
    <mergeCell ref="C200:L200"/>
    <mergeCell ref="C142:F142"/>
    <mergeCell ref="C159:L159"/>
    <mergeCell ref="G206:L206"/>
    <mergeCell ref="D124:F124"/>
    <mergeCell ref="G124:J124"/>
    <mergeCell ref="C193:D193"/>
    <mergeCell ref="K119:L119"/>
    <mergeCell ref="G101:J101"/>
    <mergeCell ref="K117:L117"/>
    <mergeCell ref="C28:L28"/>
    <mergeCell ref="G94:H94"/>
    <mergeCell ref="G35:I35"/>
    <mergeCell ref="G44:I44"/>
    <mergeCell ref="C95:F95"/>
    <mergeCell ref="G80:H80"/>
    <mergeCell ref="C94:F94"/>
    <mergeCell ref="G82:H82"/>
    <mergeCell ref="G85:H85"/>
    <mergeCell ref="G86:H86"/>
    <mergeCell ref="C81:F81"/>
    <mergeCell ref="C72:L72"/>
    <mergeCell ref="C47:L47"/>
    <mergeCell ref="J58:L58"/>
    <mergeCell ref="C49:L49"/>
    <mergeCell ref="C50:L50"/>
    <mergeCell ref="C51:L51"/>
    <mergeCell ref="C52:L52"/>
    <mergeCell ref="C53:L53"/>
    <mergeCell ref="C54:L54"/>
    <mergeCell ref="C55:L55"/>
    <mergeCell ref="C80:F80"/>
    <mergeCell ref="G79:H79"/>
    <mergeCell ref="C63:E63"/>
  </mergeCells>
  <conditionalFormatting sqref="C36:F37">
    <cfRule type="containsText" dxfId="120" priority="18" operator="containsText" text="L'adresse courriel du représentant officiel de l'entreprise est essentielle pour communiquer la décision">
      <formula>NOT(ISERROR(SEARCH("L'adresse courriel du représentant officiel de l'entreprise est essentielle pour communiquer la décision",C36)))</formula>
    </cfRule>
  </conditionalFormatting>
  <conditionalFormatting sqref="C75:L75">
    <cfRule type="expression" dxfId="119" priority="58">
      <formula>G87&lt;&gt;""</formula>
    </cfRule>
  </conditionalFormatting>
  <conditionalFormatting sqref="F235">
    <cfRule type="expression" dxfId="118" priority="72">
      <formula>E226="Non"</formula>
    </cfRule>
  </conditionalFormatting>
  <conditionalFormatting sqref="F236">
    <cfRule type="expression" dxfId="117" priority="74">
      <formula>E226="Oui"</formula>
    </cfRule>
  </conditionalFormatting>
  <conditionalFormatting sqref="F237">
    <cfRule type="expression" dxfId="116" priority="71">
      <formula>E228="Non"</formula>
    </cfRule>
  </conditionalFormatting>
  <conditionalFormatting sqref="F238">
    <cfRule type="expression" dxfId="115" priority="73">
      <formula>E228="Oui"</formula>
    </cfRule>
  </conditionalFormatting>
  <conditionalFormatting sqref="F288">
    <cfRule type="containsBlanks" dxfId="114" priority="15">
      <formula>LEN(TRIM(F288))=0</formula>
    </cfRule>
  </conditionalFormatting>
  <conditionalFormatting sqref="G226">
    <cfRule type="expression" dxfId="113" priority="54">
      <formula>AND(E226="Oui",G226="")</formula>
    </cfRule>
    <cfRule type="notContainsBlanks" dxfId="112" priority="118">
      <formula>LEN(TRIM(G226))&gt;0</formula>
    </cfRule>
  </conditionalFormatting>
  <conditionalFormatting sqref="G228">
    <cfRule type="notContainsBlanks" dxfId="111" priority="119">
      <formula>LEN(TRIM(G228))&gt;0</formula>
    </cfRule>
  </conditionalFormatting>
  <conditionalFormatting sqref="G228:H228">
    <cfRule type="expression" dxfId="110" priority="88">
      <formula>AND(E228="oui",G228="")</formula>
    </cfRule>
  </conditionalFormatting>
  <conditionalFormatting sqref="G231:H231">
    <cfRule type="containsText" dxfId="109" priority="3" operator="containsText" text="RÉSERVÉ À LA SODEC">
      <formula>NOT(ISERROR(SEARCH("RÉSERVÉ À LA SODEC",G231)))</formula>
    </cfRule>
  </conditionalFormatting>
  <conditionalFormatting sqref="G233:H233">
    <cfRule type="cellIs" dxfId="108" priority="7" operator="greaterThan">
      <formula>0</formula>
    </cfRule>
  </conditionalFormatting>
  <conditionalFormatting sqref="G236:H236">
    <cfRule type="containsText" dxfId="107" priority="43" operator="containsText" text="Ne pas oublier d'inscrire si le montant est pressenti ou confirmé">
      <formula>NOT(ISERROR(SEARCH("Ne pas oublier d'inscrire si le montant est pressenti ou confirmé",G236)))</formula>
    </cfRule>
  </conditionalFormatting>
  <conditionalFormatting sqref="G238:H244">
    <cfRule type="containsText" dxfId="106" priority="29" operator="containsText" text="Ne pas oublier d'inscrire si le montant est pressenti ou confirmé">
      <formula>NOT(ISERROR(SEARCH("Ne pas oublier d'inscrire si le montant est pressenti ou confirmé",G238)))</formula>
    </cfRule>
  </conditionalFormatting>
  <conditionalFormatting sqref="G247:H250">
    <cfRule type="containsText" dxfId="105" priority="25" operator="containsText" text="Ne pas oublier d'inscrire si le montant est pressenti ou confirmé">
      <formula>NOT(ISERROR(SEARCH("Ne pas oublier d'inscrire si le montant est pressenti ou confirmé",G247)))</formula>
    </cfRule>
  </conditionalFormatting>
  <conditionalFormatting sqref="G252:H253">
    <cfRule type="containsText" dxfId="104" priority="9" operator="containsText" text="Ne pas oublier d'inscrire si le montant est pressenti ou confirmé">
      <formula>NOT(ISERROR(SEARCH("Ne pas oublier d'inscrire si le montant est pressenti ou confirmé",G252)))</formula>
    </cfRule>
  </conditionalFormatting>
  <conditionalFormatting sqref="G257:H260">
    <cfRule type="containsText" dxfId="103" priority="21" operator="containsText" text="Ne pas oublier d'inscrire si le montant est pressenti ou confirmé">
      <formula>NOT(ISERROR(SEARCH("Ne pas oublier d'inscrire si le montant est pressenti ou confirmé",G257)))</formula>
    </cfRule>
  </conditionalFormatting>
  <conditionalFormatting sqref="G139:L139">
    <cfRule type="expression" dxfId="102" priority="61">
      <formula>$C$139="* Indiquer la date de la dernière tournée de l'artiste sur le ou les territoires visés"</formula>
    </cfRule>
    <cfRule type="expression" dxfId="101" priority="109">
      <formula>$C$139="* Cette tournée constitue une première incursion sur le territoire, expliquez pourquoi celui-ci a été ciblé"</formula>
    </cfRule>
  </conditionalFormatting>
  <conditionalFormatting sqref="H255:H256">
    <cfRule type="containsText" dxfId="100" priority="60" operator="containsText" text="Au moment du rapport final, n'oubliez pas d'ajouter les assistances pour les spectacles">
      <formula>NOT(ISERROR(SEARCH("Au moment du rapport final, n'oubliez pas d'ajouter les assistances pour les spectacles",H255)))</formula>
    </cfRule>
  </conditionalFormatting>
  <conditionalFormatting sqref="H288:L288">
    <cfRule type="expression" dxfId="99" priority="2">
      <formula>$F$288=""</formula>
    </cfRule>
  </conditionalFormatting>
  <conditionalFormatting sqref="I281:L283">
    <cfRule type="containsText" dxfId="98" priority="65" operator="containsText" text="Vous devez compléter la colonne 1ere partie de l'onglet DEMANDE_Calendrier_Tournée">
      <formula>NOT(ISERROR(SEARCH("Vous devez compléter la colonne 1ere partie de l'onglet DEMANDE_Calendrier_Tournée",I281)))</formula>
    </cfRule>
  </conditionalFormatting>
  <conditionalFormatting sqref="J58:L58">
    <cfRule type="containsText" dxfId="97" priority="8" operator="containsText" text="Votre entreprise n'est pas admissible">
      <formula>NOT(ISERROR(SEARCH("Votre entreprise n'est pas admissible",J58)))</formula>
    </cfRule>
  </conditionalFormatting>
  <conditionalFormatting sqref="J62:L62">
    <cfRule type="containsText" dxfId="96" priority="62" operator="containsText" text="Le chiffre d'affaires est inférieur au requis du programme, soit 50,000 $">
      <formula>NOT(ISERROR(SEARCH("Le chiffre d'affaires est inférieur au requis du programme, soit 50,000 $",J62)))</formula>
    </cfRule>
  </conditionalFormatting>
  <conditionalFormatting sqref="J63:L63">
    <cfRule type="containsText" dxfId="95" priority="59" operator="containsText" text="N'oubliez pas d'indiquer le chiffre d'affaires relié à l'exportation hors Québec">
      <formula>NOT(ISERROR(SEARCH("N'oubliez pas d'indiquer le chiffre d'affaires relié à l'exportation hors Québec",J63)))</formula>
    </cfRule>
  </conditionalFormatting>
  <conditionalFormatting sqref="J81:L81">
    <cfRule type="expression" dxfId="94" priority="81">
      <formula>I81="Précisez svp"</formula>
    </cfRule>
  </conditionalFormatting>
  <conditionalFormatting sqref="J82:L82">
    <cfRule type="containsText" dxfId="93" priority="56" operator="containsText" text="N'oubliez pas d'inscrire la date de sortie du dernier album">
      <formula>NOT(ISERROR(SEARCH("N'oubliez pas d'inscrire la date de sortie du dernier album",J82)))</formula>
    </cfRule>
    <cfRule type="containsText" dxfId="92" priority="57" operator="containsText" text="N'oubliez pas d'inscrire la date du premier spectacle">
      <formula>NOT(ISERROR(SEARCH("N'oubliez pas d'inscrire la date du premier spectacle",J82)))</formula>
    </cfRule>
    <cfRule type="containsText" dxfId="91" priority="83" operator="containsText" text="La demande est admissible pour les catégories jazz, classique et musique traditionnelle seulement">
      <formula>NOT(ISERROR(SEARCH("La demande est admissible pour les catégories jazz, classique et musique traditionnelle seulement",J82)))</formula>
    </cfRule>
    <cfRule type="containsText" dxfId="90" priority="84" operator="containsText" text="Le délai entre la date de sortie de l'album et le début de la tournée étant trop long, la demande est inadmissible">
      <formula>NOT(ISERROR(SEARCH("Le délai entre la date de sortie de l'album et le début de la tournée étant trop long, la demande est inadmissible",J82)))</formula>
    </cfRule>
    <cfRule type="containsText" dxfId="89" priority="85" operator="containsText" text="La délai entre la première date de la tournée et la date de sortie de l'album étant trop long, la demande est inadmissible">
      <formula>NOT(ISERROR(SEARCH("La délai entre la première date de la tournée et la date de sortie de l'album étant trop long, la demande est inadmissible",J82)))</formula>
    </cfRule>
  </conditionalFormatting>
  <conditionalFormatting sqref="J84:L85">
    <cfRule type="containsText" dxfId="88" priority="1" operator="containsText" text="Malheureusement, votre demande étant soumise hors du délai de 28 jours avant le début de la tournée, elle n'est donc pas admissible">
      <formula>NOT(ISERROR(SEARCH("Malheureusement, votre demande étant soumise hors du délai de 28 jours avant le début de la tournée, elle n'est donc pas admissible",J84)))</formula>
    </cfRule>
  </conditionalFormatting>
  <conditionalFormatting sqref="J86:L86">
    <cfRule type="notContainsBlanks" dxfId="87" priority="12">
      <formula>LEN(TRIM(J86))&gt;0</formula>
    </cfRule>
  </conditionalFormatting>
  <conditionalFormatting sqref="J87:L87">
    <cfRule type="containsText" dxfId="86" priority="4" operator="containsText" text="La date du dernier spectacle ne peut précéder la date du premier spectacle">
      <formula>NOT(ISERROR(SEARCH("La date du dernier spectacle ne peut précéder la date du premier spectacle",J87)))</formula>
    </cfRule>
  </conditionalFormatting>
  <conditionalFormatting sqref="J95:L96">
    <cfRule type="containsText" dxfId="85" priority="6" operator="containsText" text="Le contrat est arrivé à échéance sans clause de renouvellement automatique">
      <formula>NOT(ISERROR(SEARCH("Le contrat est arrivé à échéance sans clause de renouvellement automatique",J95)))</formula>
    </cfRule>
  </conditionalFormatting>
  <conditionalFormatting sqref="J141:L141">
    <cfRule type="expression" dxfId="84" priority="78">
      <formula>I141="De quelle activité s'agit-il?"</formula>
    </cfRule>
  </conditionalFormatting>
  <conditionalFormatting sqref="J142:L142">
    <cfRule type="expression" dxfId="83" priority="76">
      <formula>I142="En quelle année a eu lieu cette activité?"</formula>
    </cfRule>
  </conditionalFormatting>
  <conditionalFormatting sqref="J143:L143">
    <cfRule type="expression" dxfId="82" priority="75">
      <formula>I143="Décrivez en quelques mots"</formula>
    </cfRule>
  </conditionalFormatting>
  <conditionalFormatting sqref="K226">
    <cfRule type="notContainsBlanks" dxfId="81" priority="16">
      <formula>LEN(TRIM(K226))&gt;0</formula>
    </cfRule>
    <cfRule type="expression" dxfId="80" priority="87">
      <formula>E226="oui"</formula>
    </cfRule>
    <cfRule type="expression" dxfId="79" priority="53">
      <formula>AND(E226="Oui",K226="")</formula>
    </cfRule>
  </conditionalFormatting>
  <conditionalFormatting sqref="K228">
    <cfRule type="expression" dxfId="78" priority="52">
      <formula>AND(E228="Oui",K228="")</formula>
    </cfRule>
    <cfRule type="notContainsBlanks" dxfId="77" priority="120">
      <formula>LEN(TRIM(K228))&gt;0</formula>
    </cfRule>
  </conditionalFormatting>
  <conditionalFormatting sqref="K35:L35">
    <cfRule type="containsText" dxfId="76" priority="19" operator="containsText" text="N'oubliez pas d'inscrire l'adresse courriel du représentant officiel de l'entreprise">
      <formula>NOT(ISERROR(SEARCH("N'oubliez pas d'inscrire l'adresse courriel du représentant officiel de l'entreprise",K35)))</formula>
    </cfRule>
  </conditionalFormatting>
  <conditionalFormatting sqref="K262:L262">
    <cfRule type="containsText" dxfId="75" priority="102" operator="containsText" text="Inscrire toutes les sources de revenus pour que le «Total Financement» soit égal au «Total Budget»">
      <formula>NOT(ISERROR(SEARCH("Inscrire toutes les sources de revenus pour que le «Total Financement» soit égal au «Total Budget»",K262)))</formula>
    </cfRule>
  </conditionalFormatting>
  <conditionalFormatting sqref="O192:O195">
    <cfRule type="containsText" dxfId="74" priority="66" operator="containsText" text="N'oubliez pas d'ajouter les assistances pour chaque spectacle dans l'onglet RAPPORT_FINAL_Calendrier">
      <formula>NOT(ISERROR(SEARCH("N'oubliez pas d'ajouter les assistances pour chaque spectacle dans l'onglet RAPPORT_FINAL_Calendrier",O192)))</formula>
    </cfRule>
  </conditionalFormatting>
  <dataValidations xWindow="458" yWindow="578" count="16">
    <dataValidation type="whole" operator="greaterThan" allowBlank="1" showInputMessage="1" showErrorMessage="1" error="Entrer un nombre entier sans décimale" sqref="G196:H196 F192:F193 H213:H214 G214" xr:uid="{52AD64DE-AF68-499D-ACB3-F45C1DB92CC2}">
      <formula1>0</formula1>
    </dataValidation>
    <dataValidation allowBlank="1" showInputMessage="1" showErrorMessage="1" error="Entrer un nombre entier sans décimale" sqref="E245:E246 E234 E232:I232 I234:J234 E251 I245:J246 E254:F254 I251:J251 I254:J254 F234:F253" xr:uid="{C2B38B74-B66B-4479-BD66-F6749587D709}"/>
    <dataValidation allowBlank="1" showInputMessage="1" showErrorMessage="1" prompt="Pour copier un texte de format Word, double cliquer dans cet espace" sqref="G126:H126" xr:uid="{BE612EDB-0788-4D3D-8FFE-A1A26FE3518E}"/>
    <dataValidation allowBlank="1" showInputMessage="1" showErrorMessage="1" error="Entrer un nombre entier sans décimale" prompt="Le taux de cumul des aides gouvernementales maximal ne peux dépasser 70% du budget du projet (incluant les crédits d'impôt provinciaux et fédéraux)" sqref="E246 F252:F253 I246:J246 F246:F250 F238:F242" xr:uid="{DBCB940F-1CA6-4B0E-8534-FC98559D16FE}"/>
    <dataValidation type="whole" operator="greaterThan" allowBlank="1" showInputMessage="1" showErrorMessage="1" error="Entrer un nombre entier sans décimale" prompt="Matériel conçu pour les activités de promotion incluant la traduction des outils promotionnels" sqref="F214" xr:uid="{C43CBEB3-9800-4C5F-AA19-2687676185C6}">
      <formula1>0</formula1>
    </dataValidation>
    <dataValidation allowBlank="1" showInputMessage="1" showErrorMessage="1" error="Veuillez respecter le format de date suivant: aaaa-mm-jj" prompt="Entrer le format de date comme suit: _x000a_aaaa-mm-jj" sqref="G95 G82 G85:G86" xr:uid="{8FFBB241-CA85-4F39-BFE5-B1B3F13E2FB4}"/>
    <dataValidation type="whole" operator="greaterThan" allowBlank="1" showInputMessage="1" showErrorMessage="1" prompt="Entrer un nomre entier sans décimale" sqref="L152" xr:uid="{A15786F6-5266-4A51-B783-C0198109CCE3}">
      <formula1>0</formula1>
    </dataValidation>
    <dataValidation type="whole" operator="greaterThan" allowBlank="1" showInputMessage="1" showErrorMessage="1" sqref="H63" xr:uid="{36F57560-F1E6-4B94-9172-972BA13AE584}">
      <formula1>0</formula1>
    </dataValidation>
    <dataValidation type="whole" operator="greaterThan" allowBlank="1" showInputMessage="1" showErrorMessage="1" error="Veuillez entrer un nombre entier sans décimale" sqref="G228:H228 G226:H226 G62:G63" xr:uid="{1A6807FF-2C0D-47C1-ABB0-AA4B0D15B190}">
      <formula1>0</formula1>
    </dataValidation>
    <dataValidation allowBlank="1" showInputMessage="1" showErrorMessage="1" error="Entrer un nombre entier sans décimale" prompt="Inscrire le montant de la subvention accordée" sqref="I233" xr:uid="{B17D9423-8C35-48FA-9F84-3CE9B0A4FD10}"/>
    <dataValidation allowBlank="1" showInputMessage="1" showErrorMessage="1" error="Veuillez entrer un nombre entier sans décimale" prompt="À compléter à l'étape du rapport final" sqref="I252:I253 I247:I250 I236 I238:I244" xr:uid="{868486B4-5242-45DE-B281-0519222F4365}"/>
    <dataValidation allowBlank="1" showInputMessage="1" showErrorMessage="1" prompt="À compléter à l'étape du rapport final" sqref="I257:I260 I207:I212" xr:uid="{B5A771AD-9DC0-43C9-9AFA-CF6B64C5D835}"/>
    <dataValidation type="date" operator="greaterThan" allowBlank="1" showInputMessage="1" showErrorMessage="1" error="Veuiller entrer la date comme suit : aaaa-mm-jj" prompt="Entrer la date comme suit : aaaa-mm-jj" sqref="G64" xr:uid="{AD381144-87C2-4F64-9B35-110D3F67B8E1}">
      <formula1>43101</formula1>
    </dataValidation>
    <dataValidation type="whole" operator="lessThanOrEqual" allowBlank="1" showInputMessage="1" showErrorMessage="1" error="Le montant demandé ne peut être supérieur au montant admissible pour cette demande" prompt="Inscrire le montant demandé à la SODEC" sqref="F288" xr:uid="{51B6E6D2-0113-4869-8019-F7C887F973B0}">
      <formula1>F287</formula1>
    </dataValidation>
    <dataValidation allowBlank="1" showInputMessage="1" showErrorMessage="1" prompt="Maximum 25% des cachets de spectacles" sqref="E210" xr:uid="{4397EE7A-E877-4C0D-B5AC-02C7C1C5BC17}"/>
    <dataValidation allowBlank="1" showInputMessage="1" showErrorMessage="1" prompt="Cette personne est généralement un haut dirigeant inscrit au REQ comme étant président, directeur général, secrétaire, vice-président, trésorier ou une personne administratice autorisée à engager la société de par les règlements internes de la société." sqref="C28 G31:L31" xr:uid="{89DB1365-6F1F-4118-8BAF-27164C9A34B7}"/>
  </dataValidations>
  <hyperlinks>
    <hyperlink ref="C166:L166" location="DEMANDE_Calendrier_Tournée!C7" display="Compléter le calendrier de tournée dans l'onglet DEMANDE_Calendrier_Tournée cliquer ici" xr:uid="{44BA6DA8-991C-4BEB-AA92-C5EF4BAE4AEB}"/>
    <hyperlink ref="O213" location="Rapport_Final!D18" display="accès rapide au rapport final" xr:uid="{DCFC9996-3652-442F-9D4F-0E1BB27D93BC}"/>
    <hyperlink ref="O260" location="Rapport_Final!D19" display="accès rapide au rapport final" xr:uid="{479BE912-3DAF-4377-87E2-4A0B3CB66A00}"/>
    <hyperlink ref="C173:L173" location="DEMANDE_Équipe_Tournée!C7" display="1. Inscrire les frais de déplacement et les frais de séjour pour l'équipe de tournée dans l'onglet DEMANDE_Équipe_Tournée cliquer ici" xr:uid="{3FDED13C-976C-46A3-B109-50EAF0EE67BE}"/>
    <hyperlink ref="D15:L15" location="Rapport_Final!C7" display="répondre aux questions et compléter tous les champs de Rapport final" xr:uid="{5594547C-34A1-431D-898C-AB1D8FF880AB}"/>
    <hyperlink ref="C159:L159" location="Statistiques!C7" display="Compléter les statistiques globales et par territoires dans l'onglet Statistiques cliquer ici" xr:uid="{9C792C38-6897-4E5D-A822-B0AA5CB6D6E6}"/>
    <hyperlink ref="C180:L180" location="DEMANDE_Transport!C7" display="Inscrire les frais de transport local et les frais de transport de matériel dans l'onglet DEMANDE_Transport cliquer ici" xr:uid="{2624BE24-CDDC-41D7-9D78-45468164F78A}"/>
    <hyperlink ref="D271:F271" location="Statistiques!C7" display="onglet Statistiques" xr:uid="{148F7FAB-29AC-46CC-A15B-C3F1D02241B2}"/>
    <hyperlink ref="D272:F272" location="DEMANDE_Calendrier_Tournée!C7" display="onglet DEMANDE_Calendrier_Tournée" xr:uid="{E2F07B60-472B-4BD0-A9FF-247ECA3DA871}"/>
    <hyperlink ref="D273:F273" location="DEMANDE_Équipe_Tournée!C7" display="onglet DEMANDE_Équipe_Tournée" xr:uid="{97F49B1F-FEAD-4440-843A-6842C1480C5C}"/>
    <hyperlink ref="D274:F274" location="DEMANDE_Transport!C7" display="onglet DEMANDE_Transport" xr:uid="{06958F2F-CACF-4D71-A371-C050F9FE2718}"/>
    <hyperlink ref="D270:F270" location="Formulaire_Demande!C9" display="onglet Formulaire de demande" xr:uid="{EA19DC14-9C8C-4321-962E-5F90F0932609}"/>
  </hyperlinks>
  <printOptions horizontalCentered="1"/>
  <pageMargins left="0.25" right="0.25" top="0.75" bottom="0.75" header="0.3" footer="0.3"/>
  <pageSetup paperSize="5" scale="63" fitToHeight="6" orientation="portrait" r:id="rId1"/>
  <ignoredErrors>
    <ignoredError sqref="J234 J254 F217" formula="1"/>
    <ignoredError sqref="F23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ltText="">
                <anchor moveWithCells="1">
                  <from>
                    <xdr:col>11</xdr:col>
                    <xdr:colOff>520700</xdr:colOff>
                    <xdr:row>275</xdr:row>
                    <xdr:rowOff>38100</xdr:rowOff>
                  </from>
                  <to>
                    <xdr:col>11</xdr:col>
                    <xdr:colOff>914400</xdr:colOff>
                    <xdr:row>276</xdr:row>
                    <xdr:rowOff>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5</xdr:col>
                    <xdr:colOff>1060450</xdr:colOff>
                    <xdr:row>272</xdr:row>
                    <xdr:rowOff>31750</xdr:rowOff>
                  </from>
                  <to>
                    <xdr:col>5</xdr:col>
                    <xdr:colOff>1257300</xdr:colOff>
                    <xdr:row>272</xdr:row>
                    <xdr:rowOff>273050</xdr:rowOff>
                  </to>
                </anchor>
              </controlPr>
            </control>
          </mc:Choice>
        </mc:AlternateContent>
        <mc:AlternateContent xmlns:mc="http://schemas.openxmlformats.org/markup-compatibility/2006">
          <mc:Choice Requires="x14">
            <control shapeId="1075" r:id="rId6" name="Check Box 51">
              <controlPr defaultSize="0" autoFill="0" autoLine="0" autoPict="0">
                <anchor moveWithCells="1">
                  <from>
                    <xdr:col>5</xdr:col>
                    <xdr:colOff>1054100</xdr:colOff>
                    <xdr:row>273</xdr:row>
                    <xdr:rowOff>50800</xdr:rowOff>
                  </from>
                  <to>
                    <xdr:col>5</xdr:col>
                    <xdr:colOff>1244600</xdr:colOff>
                    <xdr:row>273</xdr:row>
                    <xdr:rowOff>298450</xdr:rowOff>
                  </to>
                </anchor>
              </controlPr>
            </control>
          </mc:Choice>
        </mc:AlternateContent>
        <mc:AlternateContent xmlns:mc="http://schemas.openxmlformats.org/markup-compatibility/2006">
          <mc:Choice Requires="x14">
            <control shapeId="1076" r:id="rId7" name="Check Box 52">
              <controlPr defaultSize="0" autoFill="0" autoLine="0" autoPict="0">
                <anchor moveWithCells="1">
                  <from>
                    <xdr:col>5</xdr:col>
                    <xdr:colOff>1060450</xdr:colOff>
                    <xdr:row>271</xdr:row>
                    <xdr:rowOff>38100</xdr:rowOff>
                  </from>
                  <to>
                    <xdr:col>5</xdr:col>
                    <xdr:colOff>1270000</xdr:colOff>
                    <xdr:row>271</xdr:row>
                    <xdr:rowOff>292100</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5</xdr:col>
                    <xdr:colOff>1060450</xdr:colOff>
                    <xdr:row>270</xdr:row>
                    <xdr:rowOff>63500</xdr:rowOff>
                  </from>
                  <to>
                    <xdr:col>5</xdr:col>
                    <xdr:colOff>1270000</xdr:colOff>
                    <xdr:row>270</xdr:row>
                    <xdr:rowOff>292100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5</xdr:col>
                    <xdr:colOff>1054100</xdr:colOff>
                    <xdr:row>269</xdr:row>
                    <xdr:rowOff>69850</xdr:rowOff>
                  </from>
                  <to>
                    <xdr:col>5</xdr:col>
                    <xdr:colOff>1263650</xdr:colOff>
                    <xdr:row>269</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58" yWindow="578" count="6">
        <x14:dataValidation type="list" allowBlank="1" showInputMessage="1" showErrorMessage="1" xr:uid="{099F0A26-EBC9-49C6-9CCD-E17DE2CA5410}">
          <x14:formula1>
            <xm:f>Paramètres!$A$2:$A$3</xm:f>
          </x14:formula1>
          <xm:sqref>Q18:Q19</xm:sqref>
        </x14:dataValidation>
        <x14:dataValidation type="list" allowBlank="1" showInputMessage="1" showErrorMessage="1" prompt="Sélectionner dans la liste" xr:uid="{A77B4304-326D-4942-BCA2-CFE5497968BF}">
          <x14:formula1>
            <xm:f>Paramètres!$A$2:$A$3</xm:f>
          </x14:formula1>
          <xm:sqref>G137 E226 E228 G141 G96 G58</xm:sqref>
        </x14:dataValidation>
        <x14:dataValidation type="list" allowBlank="1" showInputMessage="1" showErrorMessage="1" prompt="Sélectionner dans la liste" xr:uid="{802C20E9-B477-4F2C-8AA7-A138E0BF0E24}">
          <x14:formula1>
            <xm:f>Paramètres!$B$2:$B$3</xm:f>
          </x14:formula1>
          <xm:sqref>E238:E244 E257:E260 E252:E253 E236 E247:E250</xm:sqref>
        </x14:dataValidation>
        <x14:dataValidation type="list" allowBlank="1" showInputMessage="1" showErrorMessage="1" error="Veuillez sélectionner un choix dans la liste" prompt="Sélectionner dans la liste" xr:uid="{71D96F3F-9834-4D27-A715-446B10E0E496}">
          <x14:formula1>
            <xm:f>Paramètres!$K$2:$K$24</xm:f>
          </x14:formula1>
          <xm:sqref>G79:H80</xm:sqref>
        </x14:dataValidation>
        <x14:dataValidation type="list" allowBlank="1" showInputMessage="1" showErrorMessage="1" error="Veuillez sélectionner un choix dans la liste" prompt="Sélectionner dans la liste" xr:uid="{3EFFD6B7-3463-49C6-A85E-55C2C078177E}">
          <x14:formula1>
            <xm:f>Paramètres!$J$2:$J$8</xm:f>
          </x14:formula1>
          <xm:sqref>G93</xm:sqref>
        </x14:dataValidation>
        <x14:dataValidation type="list" allowBlank="1" showInputMessage="1" showErrorMessage="1" error="Veuillez sélectionner un choix dans la liste" prompt="Sélectionner dans la liste" xr:uid="{EDBECDA3-0CD6-413B-B28D-56B66D53D12B}">
          <x14:formula1>
            <xm:f>Paramètres!$C$2:$C$7</xm:f>
          </x14:formula1>
          <xm:sqref>G81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A64A-9491-4164-BD71-5E9BB719FDBD}">
  <sheetPr codeName="Feuil8">
    <tabColor theme="3" tint="0.59999389629810485"/>
  </sheetPr>
  <dimension ref="B1:AB73"/>
  <sheetViews>
    <sheetView showGridLines="0" zoomScaleNormal="100" workbookViewId="0">
      <selection activeCell="C6" sqref="C6:I6"/>
    </sheetView>
  </sheetViews>
  <sheetFormatPr baseColWidth="10" defaultColWidth="10.81640625" defaultRowHeight="14" x14ac:dyDescent="0.35"/>
  <cols>
    <col min="1" max="1" width="1.54296875" style="62" customWidth="1"/>
    <col min="2" max="2" width="2.54296875" style="62" customWidth="1"/>
    <col min="3" max="3" width="17.81640625" style="62" customWidth="1"/>
    <col min="4" max="4" width="23.54296875" style="62" customWidth="1"/>
    <col min="5" max="5" width="18.54296875" style="197" customWidth="1"/>
    <col min="6" max="6" width="18.54296875" style="62" customWidth="1"/>
    <col min="7" max="7" width="20.54296875" style="62" customWidth="1"/>
    <col min="8" max="8" width="19.54296875" style="62" customWidth="1"/>
    <col min="9" max="9" width="18.54296875" style="62" customWidth="1"/>
    <col min="10" max="10" width="2.54296875" style="197" customWidth="1"/>
    <col min="11" max="11" width="1.54296875" style="62" customWidth="1"/>
    <col min="12" max="12" width="21.90625" style="62" customWidth="1"/>
    <col min="13" max="13" width="62.1796875" style="62" customWidth="1"/>
    <col min="14" max="14" width="13.6328125" style="62" customWidth="1"/>
    <col min="15" max="15" width="1.6328125" style="62" customWidth="1"/>
    <col min="16" max="16" width="12.90625" style="62" bestFit="1" customWidth="1"/>
    <col min="17" max="17" width="1.6328125" style="62" customWidth="1"/>
    <col min="18" max="18" width="13.6328125" style="62" customWidth="1"/>
    <col min="19" max="19" width="1.6328125" style="62" customWidth="1"/>
    <col min="20" max="20" width="13.6328125" style="62" customWidth="1"/>
    <col min="21" max="21" width="1.6328125" style="62" customWidth="1"/>
    <col min="22" max="22" width="13.6328125" style="62" customWidth="1"/>
    <col min="23" max="23" width="1.6328125" style="62" customWidth="1"/>
    <col min="24" max="24" width="13.6328125" style="62" customWidth="1"/>
    <col min="25" max="25" width="1.6328125" style="62" customWidth="1"/>
    <col min="26" max="16384" width="10.81640625" style="62"/>
  </cols>
  <sheetData>
    <row r="1" spans="2:24" ht="38.15" customHeight="1" x14ac:dyDescent="0.35">
      <c r="E1" s="893" t="s">
        <v>571</v>
      </c>
      <c r="F1" s="893"/>
      <c r="G1" s="893"/>
      <c r="H1" s="893"/>
      <c r="I1" s="893"/>
      <c r="J1" s="893"/>
      <c r="K1" s="105"/>
      <c r="L1" s="105"/>
      <c r="M1" s="675" t="str">
        <f>IF(H8="","",MID(H8,SEARCH("-",H8,SEARCH("-",H8,1)+1)+1,SEARCH("-",H8,SEARCH("-",H8,SEARCH("-",H8)+1)+1)-SEARCH("-",H8,SEARCH("-",H8,1)+1)))</f>
        <v/>
      </c>
      <c r="N1" s="106"/>
      <c r="O1" s="106"/>
      <c r="P1" s="106"/>
    </row>
    <row r="2" spans="2:24" ht="18" customHeight="1" x14ac:dyDescent="0.35">
      <c r="E2" s="899" t="s">
        <v>87</v>
      </c>
      <c r="F2" s="899"/>
      <c r="G2" s="899"/>
      <c r="H2" s="899"/>
      <c r="I2" s="899"/>
      <c r="J2" s="899"/>
    </row>
    <row r="3" spans="2:24" ht="18" customHeight="1" x14ac:dyDescent="0.35">
      <c r="C3" s="108"/>
      <c r="D3" s="108"/>
      <c r="E3" s="108"/>
      <c r="F3" s="109"/>
      <c r="I3" s="900" t="s">
        <v>25</v>
      </c>
      <c r="J3" s="900"/>
    </row>
    <row r="4" spans="2:24" ht="10" customHeight="1" thickBot="1" x14ac:dyDescent="0.4">
      <c r="C4" s="108"/>
      <c r="D4" s="108"/>
      <c r="E4" s="108"/>
      <c r="F4" s="109"/>
      <c r="J4" s="110"/>
    </row>
    <row r="5" spans="2:24" ht="10" customHeight="1" x14ac:dyDescent="0.45">
      <c r="B5" s="111"/>
      <c r="C5" s="112"/>
      <c r="D5" s="112"/>
      <c r="E5" s="113"/>
      <c r="F5" s="114"/>
      <c r="G5" s="115"/>
      <c r="H5" s="115"/>
      <c r="I5" s="115"/>
      <c r="J5" s="116"/>
      <c r="M5" s="117"/>
    </row>
    <row r="6" spans="2:24" s="1" customFormat="1" ht="28" customHeight="1" x14ac:dyDescent="0.3">
      <c r="B6" s="118"/>
      <c r="C6" s="844" t="s">
        <v>70</v>
      </c>
      <c r="D6" s="844"/>
      <c r="E6" s="844"/>
      <c r="F6" s="844"/>
      <c r="G6" s="844"/>
      <c r="H6" s="844"/>
      <c r="I6" s="844"/>
      <c r="J6" s="119"/>
      <c r="K6" s="120"/>
      <c r="M6" s="121" t="str">
        <f>IF(Formulaire_Demande!G62="","Chiffre d'affaires",IF(Formulaire_Demande!G62&gt;=50000,"Le chiffre d'affaires est conforme au requis du programme","Le chiffre d'affaires est inférieur au requis du programme"))</f>
        <v>Chiffre d'affaires</v>
      </c>
      <c r="N6" s="1173" t="str">
        <f>IF(Formulaire_Demande!G62="","",Formulaire_Demande!G62)</f>
        <v/>
      </c>
      <c r="O6" s="1174"/>
      <c r="P6" s="1175"/>
    </row>
    <row r="7" spans="2:24" s="1" customFormat="1" ht="10" customHeight="1" x14ac:dyDescent="0.3">
      <c r="B7" s="118"/>
      <c r="C7" s="122"/>
      <c r="D7" s="122"/>
      <c r="E7" s="123"/>
      <c r="F7" s="124"/>
      <c r="G7" s="124"/>
      <c r="H7" s="62"/>
      <c r="I7" s="62"/>
      <c r="J7" s="119"/>
      <c r="K7" s="62"/>
      <c r="M7" s="62"/>
      <c r="N7" s="62"/>
      <c r="O7" s="62"/>
      <c r="P7" s="62"/>
    </row>
    <row r="8" spans="2:24" ht="24" customHeight="1" x14ac:dyDescent="0.35">
      <c r="B8" s="118"/>
      <c r="C8" s="1189" t="s">
        <v>27</v>
      </c>
      <c r="D8" s="1190"/>
      <c r="E8" s="1191"/>
      <c r="F8" s="1191"/>
      <c r="G8" s="125" t="s">
        <v>28</v>
      </c>
      <c r="H8" s="1191"/>
      <c r="I8" s="1192"/>
      <c r="J8" s="126"/>
      <c r="M8" s="1193" t="s">
        <v>733</v>
      </c>
      <c r="N8" s="1201" t="str">
        <f>IF(Formulaire_Demande!G82="","",
IF(Formulaire_Demande!$P$82=0,"Le délai entre la date de sortie de l'album et le début de la tournée est conforme aux requis du programme",
IF(Formulaire_Demande!$P$82&lt;-6,"Le délai entre la première date de la tournée et la date de sortie de l'album étant trop long, la demande est inadmissible",
IF(AND(Formulaire_Demande!$P$82&gt;=-6,Formulaire_Demande!$P$82&lt;=24)=TRUE,"Le délai entre la date de sortie de l'album et le début de la tournée est conforme aux requis du programme",
IF(AND(Formulaire_Demande!$P$82&gt;24,Formulaire_Demande!$P$82&lt;=36)=TRUE,"La demande est admissible pour les catégories jazz, classique et musique traditionnelle seulement",
IF(Formulaire_Demande!$P$82&gt;36,"Le délai entre la date de sortie de l'album et le début de la tournée étant trop long, la demande est inadmissible"))))))</f>
        <v/>
      </c>
      <c r="O8" s="1202"/>
      <c r="P8" s="1203"/>
      <c r="Q8" s="1201" t="str">
        <f>IF(AND(Formulaire_Demande!G79="",Formulaire_Demande!G80=""),"",
IF(Formulaire_Demande!G80="",Formulaire_Demande!G79,
IF(Formulaire_Demande!G79="",Formulaire_Demande!G80,
Formulaire_Demande!G79&amp;" "&amp;Formulaire_Demande!G80)))</f>
        <v/>
      </c>
      <c r="R8" s="1202"/>
      <c r="S8" s="1202"/>
      <c r="T8" s="1203"/>
    </row>
    <row r="9" spans="2:24" ht="24" customHeight="1" x14ac:dyDescent="0.35">
      <c r="B9" s="118"/>
      <c r="C9" s="838" t="s">
        <v>29</v>
      </c>
      <c r="D9" s="839"/>
      <c r="E9" s="1177" t="str">
        <f>Formulaire_Demande!C75</f>
        <v/>
      </c>
      <c r="F9" s="1177"/>
      <c r="G9" s="1177"/>
      <c r="H9" s="1177"/>
      <c r="I9" s="1178"/>
      <c r="J9" s="126"/>
      <c r="M9" s="1194"/>
      <c r="N9" s="1204"/>
      <c r="O9" s="1205"/>
      <c r="P9" s="1206"/>
      <c r="Q9" s="1204"/>
      <c r="R9" s="1205"/>
      <c r="S9" s="1205"/>
      <c r="T9" s="1206"/>
    </row>
    <row r="10" spans="2:24" ht="24" customHeight="1" x14ac:dyDescent="0.35">
      <c r="B10" s="118"/>
      <c r="C10" s="838" t="s">
        <v>26</v>
      </c>
      <c r="D10" s="839"/>
      <c r="E10" s="1177" t="str">
        <f>IF(Formulaire_Demande!G22="","",Formulaire_Demande!G22)</f>
        <v/>
      </c>
      <c r="F10" s="1177"/>
      <c r="G10" s="1177"/>
      <c r="H10" s="1177"/>
      <c r="I10" s="1178"/>
      <c r="J10" s="126"/>
      <c r="M10" s="1195"/>
      <c r="N10" s="1207"/>
      <c r="O10" s="1208"/>
      <c r="P10" s="1209"/>
      <c r="Q10" s="1207"/>
      <c r="R10" s="1208"/>
      <c r="S10" s="1208"/>
      <c r="T10" s="1209"/>
    </row>
    <row r="11" spans="2:24" ht="24" customHeight="1" x14ac:dyDescent="0.35">
      <c r="B11" s="118"/>
      <c r="C11" s="838" t="s">
        <v>30</v>
      </c>
      <c r="D11" s="839"/>
      <c r="E11" s="1177" t="str">
        <f>IF(Formulaire_Demande!G23="","",Formulaire_Demande!G23)</f>
        <v/>
      </c>
      <c r="F11" s="1177"/>
      <c r="G11" s="1177"/>
      <c r="H11" s="1177"/>
      <c r="I11" s="1178"/>
      <c r="J11" s="126"/>
      <c r="M11" s="1196" t="s">
        <v>420</v>
      </c>
      <c r="N11" s="1219" t="str">
        <f>IF(DEMANDE_Calendrier_Tournée!AC74=0,"",IF(DEMANDE_Calendrier_Tournée!AC74&gt;=5,"Oui","Non"))</f>
        <v/>
      </c>
      <c r="O11" s="1220"/>
      <c r="P11" s="1221"/>
    </row>
    <row r="12" spans="2:24" ht="24" customHeight="1" x14ac:dyDescent="0.35">
      <c r="B12" s="118"/>
      <c r="C12" s="838" t="s">
        <v>31</v>
      </c>
      <c r="D12" s="839"/>
      <c r="E12" s="1177" t="str">
        <f>IF(Formulaire_Demande!G24="","",Formulaire_Demande!G24)</f>
        <v/>
      </c>
      <c r="F12" s="1177"/>
      <c r="G12" s="1177"/>
      <c r="H12" s="1177"/>
      <c r="I12" s="1178"/>
      <c r="J12" s="126"/>
      <c r="M12" s="1197"/>
      <c r="N12" s="1222"/>
      <c r="O12" s="1223"/>
      <c r="P12" s="1224"/>
    </row>
    <row r="13" spans="2:24" ht="24" customHeight="1" x14ac:dyDescent="0.35">
      <c r="B13" s="118"/>
      <c r="C13" s="1199" t="s">
        <v>11</v>
      </c>
      <c r="D13" s="1200"/>
      <c r="E13" s="131" t="s">
        <v>12</v>
      </c>
      <c r="F13" s="132"/>
      <c r="G13" s="133" t="s">
        <v>32</v>
      </c>
      <c r="H13" s="134" t="str">
        <f>IF(Formulaire_Demande!G25="","",Formulaire_Demande!G25)</f>
        <v/>
      </c>
      <c r="I13" s="135"/>
      <c r="J13" s="126"/>
      <c r="M13" s="121" t="s">
        <v>421</v>
      </c>
      <c r="N13" s="1210"/>
      <c r="O13" s="1211"/>
      <c r="P13" s="1212"/>
      <c r="R13" s="1214" t="str">
        <f>IF(N13="","Vérification visuelle dans le calendrier","")</f>
        <v>Vérification visuelle dans le calendrier</v>
      </c>
      <c r="S13" s="1214"/>
      <c r="T13" s="1214"/>
      <c r="U13" s="1214"/>
      <c r="V13" s="1214"/>
      <c r="W13" s="1214"/>
      <c r="X13" s="1214"/>
    </row>
    <row r="14" spans="2:24" ht="10" customHeight="1" x14ac:dyDescent="0.35">
      <c r="B14" s="118"/>
      <c r="C14" s="136"/>
      <c r="D14" s="136"/>
      <c r="E14" s="137"/>
      <c r="F14" s="138"/>
      <c r="G14" s="138"/>
      <c r="H14" s="138"/>
      <c r="I14" s="138"/>
      <c r="J14" s="126"/>
    </row>
    <row r="15" spans="2:24" ht="24" customHeight="1" x14ac:dyDescent="0.35">
      <c r="B15" s="118"/>
      <c r="C15" s="1189" t="s">
        <v>59</v>
      </c>
      <c r="D15" s="1190"/>
      <c r="E15" s="908" t="str">
        <f>CONCATENATE(Formulaire_Demande!G31," ",Formulaire_Demande!G32)</f>
        <v xml:space="preserve"> </v>
      </c>
      <c r="F15" s="908"/>
      <c r="G15" s="908"/>
      <c r="H15" s="908"/>
      <c r="I15" s="1233"/>
      <c r="J15" s="126"/>
      <c r="M15" s="1198" t="s">
        <v>422</v>
      </c>
      <c r="N15" s="1213" t="str">
        <f>IF(Formulaire_Demande!G95="","",IF(Formulaire_Demande!J95="Le contrat est arrivé à échéance sans clause de renouvellement automatique","Non","Oui"))</f>
        <v/>
      </c>
      <c r="O15" s="1213"/>
      <c r="P15" s="1213"/>
    </row>
    <row r="16" spans="2:24" ht="24" customHeight="1" x14ac:dyDescent="0.35">
      <c r="B16" s="118"/>
      <c r="C16" s="838" t="s">
        <v>84</v>
      </c>
      <c r="D16" s="839"/>
      <c r="E16" s="1177" t="str">
        <f>IF(Formulaire_Demande!G33="","",Formulaire_Demande!G33)</f>
        <v/>
      </c>
      <c r="F16" s="1177"/>
      <c r="G16" s="1177"/>
      <c r="H16" s="1177"/>
      <c r="I16" s="1178"/>
      <c r="J16" s="126"/>
      <c r="M16" s="1198"/>
      <c r="N16" s="1213"/>
      <c r="O16" s="1213"/>
      <c r="P16" s="1213"/>
    </row>
    <row r="17" spans="2:28" ht="24" customHeight="1" x14ac:dyDescent="0.35">
      <c r="B17" s="118"/>
      <c r="C17" s="1199" t="s">
        <v>85</v>
      </c>
      <c r="D17" s="1200"/>
      <c r="E17" s="1216" t="str">
        <f>IF(Formulaire_Demande!G35="","L'adresse courriel du représentant officiel est manquante",Formulaire_Demande!G35)</f>
        <v>L'adresse courriel du représentant officiel est manquante</v>
      </c>
      <c r="F17" s="1216"/>
      <c r="G17" s="1216"/>
      <c r="H17" s="1216"/>
      <c r="I17" s="1217"/>
      <c r="J17" s="126"/>
    </row>
    <row r="18" spans="2:28" ht="10" customHeight="1" x14ac:dyDescent="0.35">
      <c r="B18" s="118"/>
      <c r="C18" s="136"/>
      <c r="D18" s="136"/>
      <c r="E18" s="137"/>
      <c r="F18" s="138"/>
      <c r="G18" s="138"/>
      <c r="H18" s="138"/>
      <c r="I18" s="138"/>
      <c r="J18" s="126"/>
    </row>
    <row r="19" spans="2:28" ht="24" customHeight="1" x14ac:dyDescent="0.35">
      <c r="B19" s="118"/>
      <c r="C19" s="1189" t="s">
        <v>86</v>
      </c>
      <c r="D19" s="1190"/>
      <c r="E19" s="908" t="str">
        <f>IF(OR(Formulaire_Demande!G40="",Formulaire_Demande!G41=""),Formulaire_Demande!G31&amp;" "&amp;Formulaire_Demande!G32,Formulaire_Demande!G40&amp;" "&amp;Formulaire_Demande!G41)</f>
        <v xml:space="preserve"> </v>
      </c>
      <c r="F19" s="908"/>
      <c r="G19" s="908"/>
      <c r="H19" s="908"/>
      <c r="I19" s="1233"/>
      <c r="J19" s="126"/>
      <c r="N19" s="140" t="s">
        <v>463</v>
      </c>
      <c r="P19" s="47"/>
      <c r="Q19" s="141"/>
      <c r="R19" s="47"/>
      <c r="S19" s="141"/>
      <c r="T19" s="47"/>
      <c r="U19" s="141"/>
      <c r="V19" s="47"/>
      <c r="W19" s="141"/>
      <c r="X19" s="47"/>
      <c r="Y19" s="141"/>
      <c r="Z19" s="1225" t="s">
        <v>387</v>
      </c>
      <c r="AA19" s="1227" t="s">
        <v>425</v>
      </c>
      <c r="AB19" s="1228"/>
    </row>
    <row r="20" spans="2:28" ht="24" customHeight="1" x14ac:dyDescent="0.35">
      <c r="B20" s="118"/>
      <c r="C20" s="838" t="s">
        <v>7</v>
      </c>
      <c r="D20" s="839"/>
      <c r="E20" s="1177">
        <f>IF(Formulaire_Demande!G42="",Formulaire_Demande!G33,Formulaire_Demande!G42)</f>
        <v>0</v>
      </c>
      <c r="F20" s="1177"/>
      <c r="G20" s="1177"/>
      <c r="H20" s="1177"/>
      <c r="I20" s="1178"/>
      <c r="J20" s="126"/>
      <c r="M20" s="1231" t="s">
        <v>423</v>
      </c>
      <c r="N20" s="140" t="s">
        <v>628</v>
      </c>
      <c r="O20" s="142"/>
      <c r="P20" s="18"/>
      <c r="R20" s="18"/>
      <c r="T20" s="18"/>
      <c r="V20" s="18"/>
      <c r="X20" s="18"/>
      <c r="Z20" s="1226"/>
      <c r="AA20" s="1229"/>
      <c r="AB20" s="1230"/>
    </row>
    <row r="21" spans="2:28" ht="24" customHeight="1" x14ac:dyDescent="0.35">
      <c r="B21" s="118"/>
      <c r="C21" s="838" t="s">
        <v>9</v>
      </c>
      <c r="D21" s="839"/>
      <c r="E21" s="1177">
        <f>IF(Formulaire_Demande!G44="",Formulaire_Demande!G35,Formulaire_Demande!G44)</f>
        <v>0</v>
      </c>
      <c r="F21" s="1177"/>
      <c r="G21" s="1177"/>
      <c r="H21" s="1177"/>
      <c r="I21" s="1178"/>
      <c r="J21" s="126"/>
      <c r="M21" s="1232"/>
      <c r="N21" s="143" t="s">
        <v>441</v>
      </c>
      <c r="O21" s="142"/>
      <c r="P21" s="48"/>
      <c r="Q21" s="144"/>
      <c r="R21" s="48"/>
      <c r="S21" s="144"/>
      <c r="T21" s="48"/>
      <c r="U21" s="144"/>
      <c r="V21" s="48"/>
      <c r="W21" s="144"/>
      <c r="X21" s="48"/>
      <c r="Y21" s="144"/>
      <c r="Z21" s="145">
        <f>SUM(P21,R21,T21,V21,X21)</f>
        <v>0</v>
      </c>
      <c r="AA21" s="1218">
        <f>IF(Z21&gt;50000,0,50000-Z21)</f>
        <v>50000</v>
      </c>
      <c r="AB21" s="1218"/>
    </row>
    <row r="22" spans="2:28" ht="24" customHeight="1" x14ac:dyDescent="0.35">
      <c r="B22" s="118"/>
      <c r="C22" s="1199" t="s">
        <v>8</v>
      </c>
      <c r="D22" s="1200"/>
      <c r="E22" s="1216">
        <f>IF(Formulaire_Demande!G43="",Formulaire_Demande!G34,Formulaire_Demande!G43)</f>
        <v>0</v>
      </c>
      <c r="F22" s="1216"/>
      <c r="G22" s="1216"/>
      <c r="H22" s="1216"/>
      <c r="I22" s="1217"/>
      <c r="J22" s="126"/>
      <c r="M22" s="1215" t="str">
        <f>IF(Z21&gt;50000,"L'artiste ou groupe ne peut obtenir une aide supérieure à 50,000 $, toutes entreprises confondues, durant le présent exercice financier","")</f>
        <v/>
      </c>
      <c r="N22" s="1215"/>
      <c r="O22" s="1215"/>
      <c r="P22" s="1215"/>
      <c r="Q22" s="1215"/>
      <c r="R22" s="1215"/>
      <c r="S22" s="1215"/>
      <c r="T22" s="1215"/>
      <c r="U22" s="1215"/>
      <c r="V22" s="1215"/>
      <c r="W22" s="1215"/>
      <c r="X22" s="1215"/>
      <c r="Y22" s="1215"/>
      <c r="Z22" s="1215"/>
      <c r="AA22" s="1215"/>
      <c r="AB22" s="1215"/>
    </row>
    <row r="23" spans="2:28" ht="28" customHeight="1" x14ac:dyDescent="0.35">
      <c r="B23" s="118"/>
      <c r="C23" s="1158" t="s">
        <v>415</v>
      </c>
      <c r="D23" s="1158"/>
      <c r="E23" s="1158"/>
      <c r="F23" s="1158"/>
      <c r="G23" s="1158"/>
      <c r="H23" s="1158"/>
      <c r="I23" s="1158"/>
      <c r="J23" s="126"/>
      <c r="L23" s="146"/>
    </row>
    <row r="24" spans="2:28" ht="36" customHeight="1" x14ac:dyDescent="0.35">
      <c r="B24" s="118"/>
      <c r="C24" s="1170" t="s">
        <v>657</v>
      </c>
      <c r="D24" s="1171"/>
      <c r="E24" s="1171"/>
      <c r="F24" s="1171"/>
      <c r="G24" s="149" t="str">
        <f>IF(Formulaire_Demande!G82="","",Formulaire_Demande!G82)</f>
        <v/>
      </c>
      <c r="H24" s="150"/>
      <c r="I24" s="151"/>
      <c r="J24" s="126"/>
    </row>
    <row r="25" spans="2:28" ht="36" customHeight="1" x14ac:dyDescent="0.35">
      <c r="B25" s="118"/>
      <c r="C25" s="814" t="s">
        <v>473</v>
      </c>
      <c r="D25" s="815"/>
      <c r="E25" s="815"/>
      <c r="F25" s="815"/>
      <c r="G25" s="1187" t="str">
        <f>IF(Formulaire_Demande!$P$82=0,"",
IF(Formulaire_Demande!$P$82&lt;-6,"Non",
IF(AND(Formulaire_Demande!$P$82&gt;=-6,Formulaire_Demande!$P$82&lt;=24),"Oui",
IF(AND(Formulaire_Demande!$P$82&gt;24,Formulaire_Demande!$P$82&lt;=36),"Oui si la catégorie est jazz, classique ou traditionnelle",
IF(Formulaire_Demande!$P$82&gt;36,"Non")))))</f>
        <v/>
      </c>
      <c r="H25" s="1187"/>
      <c r="I25" s="1188"/>
      <c r="J25" s="126"/>
    </row>
    <row r="26" spans="2:28" ht="36" customHeight="1" x14ac:dyDescent="0.35">
      <c r="B26" s="118"/>
      <c r="C26" s="814" t="s">
        <v>513</v>
      </c>
      <c r="D26" s="815"/>
      <c r="E26" s="815"/>
      <c r="F26" s="815"/>
      <c r="G26" s="154" t="str">
        <f>IF(Formulaire_Demande!G79="","",
IF(Formulaire_Demande!G79="Jazz, blues","Oui",
IF(Formulaire_Demande!G79="Classique, musique contemporaine, actuelle, électroacoustique","Oui",
IF(Formulaire_Demande!G79="Musique traditionnelle","Oui","Non"))))</f>
        <v/>
      </c>
      <c r="H26" s="1187"/>
      <c r="I26" s="1188"/>
      <c r="J26" s="126"/>
    </row>
    <row r="27" spans="2:28" ht="36" customHeight="1" x14ac:dyDescent="0.35">
      <c r="B27" s="118"/>
      <c r="C27" s="814" t="s">
        <v>734</v>
      </c>
      <c r="D27" s="815"/>
      <c r="E27" s="815"/>
      <c r="F27" s="815"/>
      <c r="G27" s="55"/>
      <c r="H27" s="157"/>
      <c r="I27" s="158"/>
      <c r="J27" s="126"/>
      <c r="M27" s="7"/>
    </row>
    <row r="28" spans="2:28" ht="10" customHeight="1" x14ac:dyDescent="0.35">
      <c r="B28" s="118"/>
      <c r="C28" s="159"/>
      <c r="D28" s="160"/>
      <c r="E28" s="160"/>
      <c r="F28" s="160"/>
      <c r="G28" s="161"/>
      <c r="H28" s="161"/>
      <c r="I28" s="162"/>
      <c r="J28" s="126"/>
      <c r="M28" s="7"/>
    </row>
    <row r="29" spans="2:28" ht="28" customHeight="1" x14ac:dyDescent="0.35">
      <c r="B29" s="118"/>
      <c r="C29" s="1159" t="s">
        <v>759</v>
      </c>
      <c r="D29" s="1159"/>
      <c r="E29" s="1159"/>
      <c r="F29" s="1159"/>
      <c r="G29" s="1159"/>
      <c r="H29" s="1159"/>
      <c r="I29" s="1159"/>
      <c r="J29" s="126"/>
    </row>
    <row r="30" spans="2:28" ht="86" customHeight="1" x14ac:dyDescent="0.35">
      <c r="B30" s="118"/>
      <c r="C30" s="1162" t="s">
        <v>760</v>
      </c>
      <c r="D30" s="1163"/>
      <c r="E30" s="1164" t="str">
        <f>IF(Formulaire_Demande!G128="","",Formulaire_Demande!G128)</f>
        <v/>
      </c>
      <c r="F30" s="1164"/>
      <c r="G30" s="1164"/>
      <c r="H30" s="1164"/>
      <c r="I30" s="1165"/>
      <c r="J30" s="126"/>
      <c r="M30" s="7"/>
    </row>
    <row r="31" spans="2:28" ht="26" customHeight="1" x14ac:dyDescent="0.35">
      <c r="B31" s="118"/>
      <c r="C31" s="1166" t="s">
        <v>761</v>
      </c>
      <c r="D31" s="1167"/>
      <c r="E31" s="1168" t="str">
        <f>IF(Formulaire_Demande!G130="","",Formulaire_Demande!G130)</f>
        <v/>
      </c>
      <c r="F31" s="1168"/>
      <c r="G31" s="1168"/>
      <c r="H31" s="1168"/>
      <c r="I31" s="1169"/>
      <c r="J31" s="126"/>
      <c r="M31" s="7"/>
    </row>
    <row r="32" spans="2:28" ht="26" customHeight="1" x14ac:dyDescent="0.35">
      <c r="B32" s="118"/>
      <c r="C32" s="163"/>
      <c r="D32" s="164"/>
      <c r="E32" s="1168" t="str">
        <f>IF(Formulaire_Demande!G131="","",Formulaire_Demande!G131)</f>
        <v/>
      </c>
      <c r="F32" s="1168"/>
      <c r="G32" s="1168"/>
      <c r="H32" s="1168"/>
      <c r="I32" s="1169"/>
      <c r="J32" s="126"/>
      <c r="M32" s="7"/>
    </row>
    <row r="33" spans="2:13" ht="26" customHeight="1" x14ac:dyDescent="0.35">
      <c r="B33" s="118"/>
      <c r="C33" s="163"/>
      <c r="D33" s="164"/>
      <c r="E33" s="1168" t="str">
        <f>IF(Formulaire_Demande!G132="","",Formulaire_Demande!G132)</f>
        <v/>
      </c>
      <c r="F33" s="1168"/>
      <c r="G33" s="1168"/>
      <c r="H33" s="1168"/>
      <c r="I33" s="1169"/>
      <c r="J33" s="126"/>
      <c r="M33" s="7"/>
    </row>
    <row r="34" spans="2:13" ht="26" customHeight="1" x14ac:dyDescent="0.35">
      <c r="B34" s="118"/>
      <c r="C34" s="163"/>
      <c r="D34" s="164"/>
      <c r="E34" s="1168" t="str">
        <f>IF(Formulaire_Demande!G133="","",Formulaire_Demande!G133)</f>
        <v/>
      </c>
      <c r="F34" s="1168"/>
      <c r="G34" s="1168"/>
      <c r="H34" s="1168"/>
      <c r="I34" s="1169"/>
      <c r="J34" s="126"/>
      <c r="M34" s="7"/>
    </row>
    <row r="35" spans="2:13" ht="26" customHeight="1" x14ac:dyDescent="0.35">
      <c r="B35" s="118"/>
      <c r="C35" s="163"/>
      <c r="D35" s="164"/>
      <c r="E35" s="1168" t="str">
        <f>IF(Formulaire_Demande!G134="","",Formulaire_Demande!G134)</f>
        <v/>
      </c>
      <c r="F35" s="1168"/>
      <c r="G35" s="1168"/>
      <c r="H35" s="1168"/>
      <c r="I35" s="1169"/>
      <c r="J35" s="126"/>
      <c r="M35" s="7"/>
    </row>
    <row r="36" spans="2:13" ht="26" customHeight="1" x14ac:dyDescent="0.35">
      <c r="B36" s="118"/>
      <c r="C36" s="838" t="s">
        <v>454</v>
      </c>
      <c r="D36" s="839"/>
      <c r="E36" s="165" t="str">
        <f>IF(DEMANDE_Calendrier_Tournée!AC74=0,"",DEMANDE_Calendrier_Tournée!AC74)</f>
        <v/>
      </c>
      <c r="F36" s="153"/>
      <c r="G36" s="156"/>
      <c r="H36" s="156"/>
      <c r="I36" s="166"/>
      <c r="J36" s="126"/>
      <c r="M36" s="7"/>
    </row>
    <row r="37" spans="2:13" ht="10" customHeight="1" x14ac:dyDescent="0.35">
      <c r="B37" s="118"/>
      <c r="C37" s="159"/>
      <c r="D37" s="160"/>
      <c r="E37" s="160"/>
      <c r="F37" s="160"/>
      <c r="G37" s="167"/>
      <c r="H37" s="167"/>
      <c r="I37" s="168"/>
      <c r="J37" s="126"/>
      <c r="M37" s="7"/>
    </row>
    <row r="38" spans="2:13" ht="28" customHeight="1" x14ac:dyDescent="0.35">
      <c r="B38" s="118"/>
      <c r="C38" s="1160" t="s">
        <v>659</v>
      </c>
      <c r="D38" s="1160"/>
      <c r="E38" s="1160"/>
      <c r="F38" s="1160"/>
      <c r="G38" s="1160"/>
      <c r="H38" s="1160"/>
      <c r="I38" s="1160"/>
      <c r="J38" s="126"/>
    </row>
    <row r="39" spans="2:13" ht="26" customHeight="1" x14ac:dyDescent="0.35">
      <c r="B39" s="118"/>
      <c r="C39" s="1170" t="s">
        <v>737</v>
      </c>
      <c r="D39" s="1171"/>
      <c r="E39" s="1171"/>
      <c r="F39" s="1171"/>
      <c r="G39" s="56"/>
      <c r="H39" s="169"/>
      <c r="I39" s="170"/>
      <c r="J39" s="126"/>
      <c r="M39" s="7"/>
    </row>
    <row r="40" spans="2:13" ht="40.5" customHeight="1" x14ac:dyDescent="0.35">
      <c r="B40" s="118"/>
      <c r="C40" s="814" t="s">
        <v>738</v>
      </c>
      <c r="D40" s="815"/>
      <c r="E40" s="815"/>
      <c r="F40" s="815"/>
      <c r="G40" s="55"/>
      <c r="H40" s="156"/>
      <c r="I40" s="166"/>
      <c r="J40" s="126"/>
      <c r="M40" s="7"/>
    </row>
    <row r="41" spans="2:13" ht="26" customHeight="1" x14ac:dyDescent="0.35">
      <c r="B41" s="118"/>
      <c r="C41" s="814" t="s">
        <v>735</v>
      </c>
      <c r="D41" s="815"/>
      <c r="E41" s="815"/>
      <c r="F41" s="815"/>
      <c r="G41" s="55"/>
      <c r="H41" s="156"/>
      <c r="I41" s="166"/>
      <c r="J41" s="126"/>
      <c r="M41" s="7"/>
    </row>
    <row r="42" spans="2:13" ht="26" customHeight="1" x14ac:dyDescent="0.35">
      <c r="B42" s="118"/>
      <c r="C42" s="814" t="s">
        <v>736</v>
      </c>
      <c r="D42" s="815"/>
      <c r="E42" s="815"/>
      <c r="F42" s="815"/>
      <c r="G42" s="55"/>
      <c r="H42" s="156"/>
      <c r="I42" s="166"/>
      <c r="J42" s="126"/>
      <c r="M42" s="7"/>
    </row>
    <row r="43" spans="2:13" ht="26" customHeight="1" x14ac:dyDescent="0.35">
      <c r="B43" s="118"/>
      <c r="C43" s="814" t="s">
        <v>464</v>
      </c>
      <c r="D43" s="815"/>
      <c r="E43" s="815"/>
      <c r="F43" s="815"/>
      <c r="G43" s="156" t="str">
        <f>IF(DEMANDE_Calendrier_Tournée!Q84="","",IF(DEMANDE_Calendrier_Tournée!Q84="La tournée est constituée majoritairement de premières parties","Oui","Non"))</f>
        <v/>
      </c>
      <c r="H43" s="156"/>
      <c r="I43" s="166"/>
      <c r="J43" s="126"/>
      <c r="M43" s="7"/>
    </row>
    <row r="44" spans="2:13" ht="10" customHeight="1" x14ac:dyDescent="0.35">
      <c r="B44" s="118"/>
      <c r="C44" s="159"/>
      <c r="D44" s="160"/>
      <c r="E44" s="160"/>
      <c r="F44" s="160"/>
      <c r="G44" s="167"/>
      <c r="H44" s="167"/>
      <c r="I44" s="168"/>
      <c r="J44" s="126"/>
      <c r="M44" s="7"/>
    </row>
    <row r="45" spans="2:13" ht="28" customHeight="1" x14ac:dyDescent="0.35">
      <c r="B45" s="118"/>
      <c r="C45" s="1159" t="s">
        <v>417</v>
      </c>
      <c r="D45" s="1159"/>
      <c r="E45" s="1159"/>
      <c r="F45" s="1159"/>
      <c r="G45" s="1159"/>
      <c r="H45" s="1159"/>
      <c r="I45" s="1159"/>
      <c r="J45" s="126"/>
    </row>
    <row r="46" spans="2:13" ht="26" customHeight="1" x14ac:dyDescent="0.3">
      <c r="B46" s="171"/>
      <c r="C46" s="1179" t="s">
        <v>848</v>
      </c>
      <c r="D46" s="1180"/>
      <c r="E46" s="172">
        <f>MAX(DEMANDE_Calendrier_Tournée!L22:L71)</f>
        <v>0</v>
      </c>
      <c r="F46" s="173"/>
      <c r="G46" s="173"/>
      <c r="H46" s="173"/>
      <c r="I46" s="174"/>
      <c r="J46" s="126"/>
    </row>
    <row r="47" spans="2:13" ht="26" customHeight="1" x14ac:dyDescent="0.3">
      <c r="B47" s="171"/>
      <c r="C47" s="816" t="s">
        <v>849</v>
      </c>
      <c r="D47" s="817"/>
      <c r="E47" s="175">
        <f>MIN(DEMANDE_Calendrier_Tournée!L22:L71)</f>
        <v>0</v>
      </c>
      <c r="F47" s="176"/>
      <c r="G47" s="176"/>
      <c r="H47" s="176"/>
      <c r="I47" s="177"/>
      <c r="J47" s="126"/>
    </row>
    <row r="48" spans="2:13" ht="26" customHeight="1" x14ac:dyDescent="0.3">
      <c r="B48" s="171"/>
      <c r="C48" s="816" t="s">
        <v>750</v>
      </c>
      <c r="D48" s="817"/>
      <c r="E48" s="175">
        <f>Formulaire_Demande!F262</f>
        <v>0</v>
      </c>
      <c r="F48" s="176"/>
      <c r="G48" s="176"/>
      <c r="H48" s="176"/>
      <c r="I48" s="177"/>
      <c r="J48" s="126"/>
    </row>
    <row r="49" spans="2:15" ht="26" customHeight="1" x14ac:dyDescent="0.3">
      <c r="B49" s="171"/>
      <c r="C49" s="816" t="s">
        <v>746</v>
      </c>
      <c r="D49" s="817"/>
      <c r="E49" s="175">
        <f>Formulaire_Demande!F196</f>
        <v>0</v>
      </c>
      <c r="F49" s="176"/>
      <c r="G49" s="176"/>
      <c r="H49" s="176"/>
      <c r="I49" s="177"/>
      <c r="J49" s="126"/>
    </row>
    <row r="50" spans="2:15" ht="26" customHeight="1" x14ac:dyDescent="0.35">
      <c r="B50" s="171"/>
      <c r="C50" s="816" t="s">
        <v>747</v>
      </c>
      <c r="D50" s="817"/>
      <c r="E50" s="175">
        <f>Formulaire_Demande!G217</f>
        <v>0</v>
      </c>
      <c r="F50" s="176"/>
      <c r="G50" s="176"/>
      <c r="H50" s="176"/>
      <c r="I50" s="177"/>
      <c r="J50" s="126"/>
      <c r="L50" s="178" t="s">
        <v>762</v>
      </c>
    </row>
    <row r="51" spans="2:15" ht="42.5" customHeight="1" x14ac:dyDescent="0.3">
      <c r="B51" s="118"/>
      <c r="C51" s="816" t="s">
        <v>416</v>
      </c>
      <c r="D51" s="817"/>
      <c r="E51" s="57"/>
      <c r="F51" s="179"/>
      <c r="G51" s="129"/>
      <c r="H51" s="129"/>
      <c r="I51" s="130"/>
      <c r="J51" s="126"/>
      <c r="L51" s="97">
        <f>IFERROR(Formulaire_Demande!F281/Formulaire_Demande!F282,0)</f>
        <v>0</v>
      </c>
      <c r="M51" s="7"/>
    </row>
    <row r="52" spans="2:15" ht="26" customHeight="1" x14ac:dyDescent="0.25">
      <c r="B52" s="118"/>
      <c r="C52" s="816" t="s">
        <v>857</v>
      </c>
      <c r="D52" s="817"/>
      <c r="E52" s="175">
        <f>Formulaire_Demande!F288</f>
        <v>0</v>
      </c>
      <c r="F52" s="180"/>
      <c r="G52" s="180"/>
      <c r="H52" s="181"/>
      <c r="I52" s="130"/>
      <c r="J52" s="126"/>
      <c r="L52" s="1161" t="str">
        <f>IF(E53&gt;AA21,"ATTENTION Solde de l'aide annuelle insuffisant pour couvrir le montant demandé","")</f>
        <v/>
      </c>
      <c r="M52" s="1161"/>
      <c r="N52" s="1161"/>
      <c r="O52" s="1161"/>
    </row>
    <row r="53" spans="2:15" ht="26" customHeight="1" x14ac:dyDescent="0.25">
      <c r="B53" s="118"/>
      <c r="C53" s="816" t="s">
        <v>410</v>
      </c>
      <c r="D53" s="817"/>
      <c r="E53" s="175">
        <f>IF(Formulaire_Demande!F287&gt;AA21,AA21,Formulaire_Demande!F287)</f>
        <v>0</v>
      </c>
      <c r="F53" s="180"/>
      <c r="G53" s="180"/>
      <c r="H53" s="181"/>
      <c r="I53" s="130"/>
      <c r="J53" s="126"/>
      <c r="L53" s="676"/>
      <c r="M53" s="676"/>
      <c r="N53" s="676"/>
      <c r="O53" s="676"/>
    </row>
    <row r="54" spans="2:15" ht="10" customHeight="1" x14ac:dyDescent="0.35">
      <c r="B54" s="171"/>
      <c r="C54" s="182"/>
      <c r="D54" s="183"/>
      <c r="E54" s="184"/>
      <c r="F54" s="183"/>
      <c r="G54" s="183"/>
      <c r="H54" s="183"/>
      <c r="I54" s="135"/>
      <c r="J54" s="126"/>
    </row>
    <row r="55" spans="2:15" ht="10" customHeight="1" x14ac:dyDescent="0.3">
      <c r="B55" s="171"/>
      <c r="C55" s="1"/>
      <c r="D55" s="1"/>
      <c r="E55" s="1"/>
      <c r="F55" s="1"/>
      <c r="G55" s="1"/>
      <c r="H55" s="1"/>
      <c r="J55" s="126"/>
    </row>
    <row r="56" spans="2:15" ht="20" customHeight="1" x14ac:dyDescent="0.3">
      <c r="B56" s="171"/>
      <c r="C56" s="1149" t="s">
        <v>33</v>
      </c>
      <c r="D56" s="1150"/>
      <c r="E56" s="1153"/>
      <c r="F56" s="658"/>
      <c r="G56" s="658"/>
      <c r="H56" s="659" t="s">
        <v>83</v>
      </c>
      <c r="I56" s="660">
        <f>ROUND(E56*0.7,0)</f>
        <v>0</v>
      </c>
      <c r="J56" s="126"/>
      <c r="M56" s="185"/>
    </row>
    <row r="57" spans="2:15" ht="20" customHeight="1" x14ac:dyDescent="0.3">
      <c r="B57" s="171"/>
      <c r="C57" s="1151"/>
      <c r="D57" s="1152"/>
      <c r="E57" s="1154"/>
      <c r="H57" s="661" t="s">
        <v>34</v>
      </c>
      <c r="I57" s="662">
        <f>ROUND(E56*0.3,0)</f>
        <v>0</v>
      </c>
      <c r="J57" s="126"/>
    </row>
    <row r="58" spans="2:15" ht="17.5" x14ac:dyDescent="0.3">
      <c r="B58" s="171"/>
      <c r="C58" s="663"/>
      <c r="D58" s="186"/>
      <c r="E58" s="124"/>
      <c r="G58" s="661"/>
      <c r="H58" s="664"/>
      <c r="I58" s="77"/>
      <c r="J58" s="126"/>
    </row>
    <row r="59" spans="2:15" ht="60" customHeight="1" x14ac:dyDescent="0.3">
      <c r="B59" s="171"/>
      <c r="C59" s="1155" t="s">
        <v>79</v>
      </c>
      <c r="D59" s="1156"/>
      <c r="E59" s="1156"/>
      <c r="G59" s="656" t="s">
        <v>80</v>
      </c>
      <c r="I59" s="665" t="s">
        <v>551</v>
      </c>
      <c r="J59" s="126"/>
      <c r="L59" s="188" t="str">
        <f>IF(L60="Réviser les pourcentages","ATTENTION!","")</f>
        <v/>
      </c>
    </row>
    <row r="60" spans="2:15" ht="24" customHeight="1" x14ac:dyDescent="0.3">
      <c r="B60" s="171"/>
      <c r="C60" s="1144"/>
      <c r="D60" s="1145"/>
      <c r="E60" s="1145"/>
      <c r="G60" s="672"/>
      <c r="I60" s="673" t="str">
        <f>IF(G60="","",ROUND($E$56*G60,0))</f>
        <v/>
      </c>
      <c r="J60" s="126"/>
      <c r="L60" s="1157" t="str">
        <f>IF(SUM(G60:G63)&gt;100%,"Réviser les pourcentages","")</f>
        <v/>
      </c>
    </row>
    <row r="61" spans="2:15" ht="24" customHeight="1" x14ac:dyDescent="0.3">
      <c r="B61" s="171"/>
      <c r="C61" s="1144"/>
      <c r="D61" s="1145"/>
      <c r="E61" s="1145"/>
      <c r="G61" s="672"/>
      <c r="I61" s="673" t="str">
        <f>IF(G61="","",ROUND($E$56*G61,0))</f>
        <v/>
      </c>
      <c r="J61" s="126"/>
      <c r="L61" s="1157"/>
    </row>
    <row r="62" spans="2:15" ht="24" customHeight="1" x14ac:dyDescent="0.3">
      <c r="B62" s="171"/>
      <c r="C62" s="1144"/>
      <c r="D62" s="1145"/>
      <c r="E62" s="1145"/>
      <c r="G62" s="672"/>
      <c r="I62" s="673" t="str">
        <f>IF(G62="","",ROUND($E$56*G62,0))</f>
        <v/>
      </c>
      <c r="J62" s="126"/>
      <c r="L62" s="1157"/>
    </row>
    <row r="63" spans="2:15" ht="24" customHeight="1" x14ac:dyDescent="0.3">
      <c r="B63" s="171"/>
      <c r="C63" s="1144"/>
      <c r="D63" s="1145"/>
      <c r="E63" s="1145"/>
      <c r="G63" s="672"/>
      <c r="I63" s="673" t="str">
        <f>IF(G63="","",ROUND($E$56*G63,0))</f>
        <v/>
      </c>
      <c r="J63" s="126"/>
      <c r="L63" s="189"/>
    </row>
    <row r="64" spans="2:15" ht="10" customHeight="1" x14ac:dyDescent="0.3">
      <c r="B64" s="171"/>
      <c r="C64" s="666"/>
      <c r="D64" s="667"/>
      <c r="E64" s="668"/>
      <c r="F64" s="669"/>
      <c r="G64" s="670"/>
      <c r="H64" s="671"/>
      <c r="I64" s="79"/>
      <c r="J64" s="126"/>
    </row>
    <row r="65" spans="2:10" ht="28" customHeight="1" x14ac:dyDescent="0.3">
      <c r="B65" s="171"/>
      <c r="C65" s="1146" t="s">
        <v>35</v>
      </c>
      <c r="D65" s="1147"/>
      <c r="E65" s="1147"/>
      <c r="F65" s="1147"/>
      <c r="G65" s="1147"/>
      <c r="H65" s="1147"/>
      <c r="I65" s="1148"/>
      <c r="J65" s="126"/>
    </row>
    <row r="66" spans="2:10" ht="150" customHeight="1" x14ac:dyDescent="0.3">
      <c r="B66" s="171"/>
      <c r="C66" s="1182"/>
      <c r="D66" s="1183"/>
      <c r="E66" s="1183"/>
      <c r="F66" s="1183"/>
      <c r="G66" s="1183"/>
      <c r="H66" s="1183"/>
      <c r="I66" s="1184"/>
      <c r="J66" s="126"/>
    </row>
    <row r="67" spans="2:10" x14ac:dyDescent="0.3">
      <c r="B67" s="171"/>
      <c r="C67" s="1"/>
      <c r="D67" s="1"/>
      <c r="E67" s="1"/>
      <c r="F67" s="1"/>
      <c r="G67" s="1"/>
      <c r="H67" s="1"/>
      <c r="J67" s="126"/>
    </row>
    <row r="68" spans="2:10" x14ac:dyDescent="0.3">
      <c r="B68" s="171"/>
      <c r="C68" s="1"/>
      <c r="D68" s="1"/>
      <c r="E68" s="1"/>
      <c r="F68" s="1"/>
      <c r="G68" s="1"/>
      <c r="H68" s="1"/>
      <c r="J68" s="126"/>
    </row>
    <row r="69" spans="2:10" x14ac:dyDescent="0.3">
      <c r="B69" s="171"/>
      <c r="C69" s="1"/>
      <c r="D69" s="1"/>
      <c r="E69" s="1"/>
      <c r="F69" s="1"/>
      <c r="G69" s="1"/>
      <c r="H69" s="1"/>
      <c r="J69" s="126"/>
    </row>
    <row r="70" spans="2:10" ht="15.5" x14ac:dyDescent="0.3">
      <c r="B70" s="171"/>
      <c r="C70" s="1186"/>
      <c r="D70" s="1186"/>
      <c r="E70" s="10"/>
      <c r="G70" s="1185"/>
      <c r="H70" s="1185"/>
      <c r="I70" s="10"/>
      <c r="J70" s="126"/>
    </row>
    <row r="71" spans="2:10" ht="15.5" x14ac:dyDescent="0.3">
      <c r="B71" s="171"/>
      <c r="C71" s="1181"/>
      <c r="D71" s="1181"/>
      <c r="E71" s="190" t="s">
        <v>36</v>
      </c>
      <c r="G71" s="191" t="s">
        <v>37</v>
      </c>
      <c r="H71" s="192"/>
      <c r="I71" s="190" t="s">
        <v>36</v>
      </c>
      <c r="J71" s="126"/>
    </row>
    <row r="72" spans="2:10" ht="30.65" customHeight="1" x14ac:dyDescent="0.3">
      <c r="B72" s="171"/>
      <c r="C72" s="1172" t="s">
        <v>507</v>
      </c>
      <c r="D72" s="1172"/>
      <c r="E72" s="1172"/>
      <c r="G72" s="1176" t="s">
        <v>38</v>
      </c>
      <c r="H72" s="1176"/>
      <c r="I72" s="1176"/>
      <c r="J72" s="126"/>
    </row>
    <row r="73" spans="2:10" ht="14.5" thickBot="1" x14ac:dyDescent="0.35">
      <c r="B73" s="193"/>
      <c r="C73" s="194"/>
      <c r="D73" s="194"/>
      <c r="E73" s="194"/>
      <c r="F73" s="194"/>
      <c r="G73" s="194"/>
      <c r="H73" s="194"/>
      <c r="I73" s="195"/>
      <c r="J73" s="196"/>
    </row>
  </sheetData>
  <sheetProtection algorithmName="SHA-512" hashValue="6bIktdndQejllvQ2r2XXfy0AGN/BKCU6HrvzTjiKqIiHlpl/UV9BBuleZftW2GXGa/Q8Dv+7J7x+cGhD8jxslQ==" saltValue="pSw4UcB1aseIPU74FB9VCw==" spinCount="100000" sheet="1" objects="1" scenarios="1" formatRows="0"/>
  <mergeCells count="93">
    <mergeCell ref="Z19:Z20"/>
    <mergeCell ref="AA19:AB20"/>
    <mergeCell ref="M20:M21"/>
    <mergeCell ref="E11:I11"/>
    <mergeCell ref="E16:I16"/>
    <mergeCell ref="E17:I17"/>
    <mergeCell ref="E19:I19"/>
    <mergeCell ref="E15:I15"/>
    <mergeCell ref="Q8:T10"/>
    <mergeCell ref="R13:X13"/>
    <mergeCell ref="C11:D11"/>
    <mergeCell ref="M22:AB22"/>
    <mergeCell ref="E21:I21"/>
    <mergeCell ref="E22:I22"/>
    <mergeCell ref="C21:D21"/>
    <mergeCell ref="AA21:AB21"/>
    <mergeCell ref="C12:D12"/>
    <mergeCell ref="C13:D13"/>
    <mergeCell ref="C15:D15"/>
    <mergeCell ref="C17:D17"/>
    <mergeCell ref="C19:D19"/>
    <mergeCell ref="C20:D20"/>
    <mergeCell ref="C16:D16"/>
    <mergeCell ref="N11:P12"/>
    <mergeCell ref="N8:P10"/>
    <mergeCell ref="N13:P13"/>
    <mergeCell ref="N15:P16"/>
    <mergeCell ref="E33:I33"/>
    <mergeCell ref="E34:I34"/>
    <mergeCell ref="G25:I25"/>
    <mergeCell ref="C27:F27"/>
    <mergeCell ref="C53:D53"/>
    <mergeCell ref="M8:M10"/>
    <mergeCell ref="M11:M12"/>
    <mergeCell ref="M15:M16"/>
    <mergeCell ref="E35:I35"/>
    <mergeCell ref="C36:D36"/>
    <mergeCell ref="C48:D48"/>
    <mergeCell ref="C51:D51"/>
    <mergeCell ref="C22:D22"/>
    <mergeCell ref="C49:D49"/>
    <mergeCell ref="C52:D52"/>
    <mergeCell ref="E1:J1"/>
    <mergeCell ref="E10:I10"/>
    <mergeCell ref="E9:I9"/>
    <mergeCell ref="C6:I6"/>
    <mergeCell ref="C8:D8"/>
    <mergeCell ref="C9:D9"/>
    <mergeCell ref="C10:D10"/>
    <mergeCell ref="E8:F8"/>
    <mergeCell ref="H8:I8"/>
    <mergeCell ref="E2:J2"/>
    <mergeCell ref="I3:J3"/>
    <mergeCell ref="C72:E72"/>
    <mergeCell ref="N6:P6"/>
    <mergeCell ref="G72:I72"/>
    <mergeCell ref="E12:I12"/>
    <mergeCell ref="C46:D46"/>
    <mergeCell ref="C71:D71"/>
    <mergeCell ref="C66:I66"/>
    <mergeCell ref="G70:H70"/>
    <mergeCell ref="C47:D47"/>
    <mergeCell ref="C70:D70"/>
    <mergeCell ref="H26:I26"/>
    <mergeCell ref="C43:F43"/>
    <mergeCell ref="E20:I20"/>
    <mergeCell ref="C26:F26"/>
    <mergeCell ref="C25:F25"/>
    <mergeCell ref="C24:F24"/>
    <mergeCell ref="L60:L62"/>
    <mergeCell ref="C50:D50"/>
    <mergeCell ref="C23:I23"/>
    <mergeCell ref="C45:I45"/>
    <mergeCell ref="C38:I38"/>
    <mergeCell ref="L52:O52"/>
    <mergeCell ref="C29:I29"/>
    <mergeCell ref="C30:D30"/>
    <mergeCell ref="E30:I30"/>
    <mergeCell ref="C31:D31"/>
    <mergeCell ref="E31:I31"/>
    <mergeCell ref="E32:I32"/>
    <mergeCell ref="C39:F39"/>
    <mergeCell ref="C40:F40"/>
    <mergeCell ref="C41:F41"/>
    <mergeCell ref="C42:F42"/>
    <mergeCell ref="C62:E62"/>
    <mergeCell ref="C63:E63"/>
    <mergeCell ref="C65:I65"/>
    <mergeCell ref="C56:D57"/>
    <mergeCell ref="E56:E57"/>
    <mergeCell ref="C59:E59"/>
    <mergeCell ref="C60:E60"/>
    <mergeCell ref="C61:E61"/>
  </mergeCells>
  <conditionalFormatting sqref="E51">
    <cfRule type="containsBlanks" dxfId="19" priority="17">
      <formula>LEN(TRIM(E51))=0</formula>
    </cfRule>
  </conditionalFormatting>
  <conditionalFormatting sqref="E17:I17">
    <cfRule type="expression" dxfId="18" priority="6">
      <formula>AND(E15&lt;&gt;"",E17="L'adresse courriel du représentant officiel est manquante")</formula>
    </cfRule>
  </conditionalFormatting>
  <conditionalFormatting sqref="G27">
    <cfRule type="containsBlanks" dxfId="17" priority="19">
      <formula>LEN(TRIM(G27))=0</formula>
    </cfRule>
  </conditionalFormatting>
  <conditionalFormatting sqref="G39:G43">
    <cfRule type="containsBlanks" dxfId="16" priority="16">
      <formula>LEN(TRIM(G39))=0</formula>
    </cfRule>
  </conditionalFormatting>
  <conditionalFormatting sqref="L59">
    <cfRule type="notContainsBlanks" dxfId="15" priority="3">
      <formula>LEN(TRIM(L59))&gt;0</formula>
    </cfRule>
  </conditionalFormatting>
  <conditionalFormatting sqref="L52:O53">
    <cfRule type="containsText" dxfId="14" priority="10" operator="containsText" text="ATTENTION Solde de l'aide annuelle insuffisant pour couvrir le montant demandé">
      <formula>NOT(ISERROR(SEARCH("ATTENTION Solde de l'aide annuelle insuffisant pour couvrir le montant demandé",L52)))</formula>
    </cfRule>
  </conditionalFormatting>
  <conditionalFormatting sqref="M6">
    <cfRule type="containsText" dxfId="13" priority="15" operator="containsText" text="Le chiffre d'affaires est inférieur au requis du programme">
      <formula>NOT(ISERROR(SEARCH("Le chiffre d'affaires est inférieur au requis du programme",M6)))</formula>
    </cfRule>
  </conditionalFormatting>
  <conditionalFormatting sqref="M22:AB22">
    <cfRule type="containsText" dxfId="12" priority="20" operator="containsText" text="L'artiste ou groupe ne peut obtenir une aide supérieure à 50,000 $, toutes entreprises confondues, durant le présent exercice financier">
      <formula>NOT(ISERROR(SEARCH("L'artiste ou groupe ne peut obtenir une aide supérieure à 50,000 $, toutes entreprises confondues, durant le présent exercice financier",M22)))</formula>
    </cfRule>
  </conditionalFormatting>
  <conditionalFormatting sqref="N8:P10">
    <cfRule type="containsText" dxfId="11" priority="12" operator="containsText" text="La demande est admissible pour les catégories jazz, classique et musique traditionnelle seulement">
      <formula>NOT(ISERROR(SEARCH("La demande est admissible pour les catégories jazz, classique et musique traditionnelle seulement",N8)))</formula>
    </cfRule>
    <cfRule type="containsText" dxfId="10" priority="13" operator="containsText" text="Le délai entre la date de sortie de l'album et le début de la tournée étant trop long, la demande est inadmissible">
      <formula>NOT(ISERROR(SEARCH("Le délai entre la date de sortie de l'album et le début de la tournée étant trop long, la demande est inadmissible",N8)))</formula>
    </cfRule>
    <cfRule type="containsText" dxfId="9" priority="14" operator="containsText" text="Le délai entre la première date de la tournée et la date de sortie de l'album étant trop long, la demande est inadmissible">
      <formula>NOT(ISERROR(SEARCH("Le délai entre la première date de la tournée et la date de sortie de l'album étant trop long, la demande est inadmissible",N8)))</formula>
    </cfRule>
  </conditionalFormatting>
  <conditionalFormatting sqref="N13:P13">
    <cfRule type="containsBlanks" dxfId="8" priority="5">
      <formula>LEN(TRIM(N13))=0</formula>
    </cfRule>
  </conditionalFormatting>
  <conditionalFormatting sqref="N15:P16">
    <cfRule type="containsText" dxfId="7" priority="4" operator="containsText" text="Contrat arrivé à échéance sans clause de renouvellement">
      <formula>NOT(ISERROR(SEARCH("Contrat arrivé à échéance sans clause de renouvellement",N15)))</formula>
    </cfRule>
  </conditionalFormatting>
  <dataValidations count="1">
    <dataValidation allowBlank="1" showInputMessage="1" showErrorMessage="1" prompt="Inscrire la ventilation budgétaire" sqref="C60:C63" xr:uid="{89A7749F-F15C-49F9-9AB2-D19B8BF2DF8E}"/>
  </dataValidations>
  <printOptions horizontalCentered="1"/>
  <pageMargins left="0.25" right="0.25" top="0.75" bottom="0.75" header="0.3" footer="0.3"/>
  <pageSetup paperSize="5" scale="70" fitToHeight="10" orientation="portrait" r:id="rId1"/>
  <headerFooter>
    <oddFooter>&amp;L&amp;"Calibri,Italique"&amp;9Direction générale affaires internationales, exportation et mise en marché du cinéma&amp;R&amp;P/&amp;N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électionner dans la liste" xr:uid="{550B814B-29C6-449E-A8E3-67A44519494B}">
          <x14:formula1>
            <xm:f>Paramètres!$A$2:$A$3</xm:f>
          </x14:formula1>
          <xm:sqref>E51 G39:G42 G27 N13:P13</xm:sqref>
        </x14:dataValidation>
        <x14:dataValidation type="list" allowBlank="1" showInputMessage="1" showErrorMessage="1" prompt="Sélectionner dans la liste" xr:uid="{679BA521-2665-43AB-A76E-81D85E71E67D}">
          <x14:formula1>
            <xm:f>Paramètres!$L$2:$L$6</xm:f>
          </x14:formula1>
          <xm:sqref>P20 R20 T20 V20 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0653-EADC-407A-A918-8B23BED604C1}">
  <sheetPr>
    <tabColor theme="3" tint="0.59999389629810485"/>
  </sheetPr>
  <dimension ref="A1:I8"/>
  <sheetViews>
    <sheetView showGridLines="0" zoomScale="80" zoomScaleNormal="80" workbookViewId="0">
      <selection activeCell="C7" sqref="C7:Y7"/>
    </sheetView>
  </sheetViews>
  <sheetFormatPr baseColWidth="10" defaultColWidth="10.90625" defaultRowHeight="14" x14ac:dyDescent="0.3"/>
  <cols>
    <col min="1" max="1" width="24.6328125" style="1" customWidth="1"/>
    <col min="2" max="2" width="14.90625" style="1" customWidth="1"/>
    <col min="3" max="3" width="2.6328125" style="1" customWidth="1"/>
    <col min="4" max="4" width="28" style="1" customWidth="1"/>
    <col min="5" max="5" width="15" style="1" customWidth="1"/>
    <col min="6" max="7" width="10.90625" style="1"/>
    <col min="8" max="8" width="19.1796875" style="1" customWidth="1"/>
    <col min="9" max="9" width="20.1796875" style="1" customWidth="1"/>
    <col min="10" max="16384" width="10.90625" style="1"/>
  </cols>
  <sheetData>
    <row r="1" spans="1:9" ht="28" x14ac:dyDescent="0.3">
      <c r="A1" s="1235" t="s">
        <v>673</v>
      </c>
      <c r="B1" s="1235"/>
      <c r="C1" s="1235"/>
      <c r="D1" s="1235"/>
      <c r="E1" s="1235"/>
      <c r="H1" s="72" t="s">
        <v>814</v>
      </c>
      <c r="I1" s="101" t="s">
        <v>815</v>
      </c>
    </row>
    <row r="3" spans="1:9" s="71" customFormat="1" ht="22" customHeight="1" x14ac:dyDescent="0.35">
      <c r="A3" s="1149" t="s">
        <v>674</v>
      </c>
      <c r="B3" s="1234"/>
      <c r="C3" s="73"/>
      <c r="D3" s="1149" t="s">
        <v>675</v>
      </c>
      <c r="E3" s="1234"/>
      <c r="H3" s="100">
        <f>IF(Formulaire_Demande!I281="Vous devez compléter la colonne 1ere partie de l'onglet Demande_Calendrier_Tournée","",IF(Formulaire_Demande!I281="La tournée es constituée principalement de premières parties",ROUNDDOWN(Formulaire_Demande!G196,0),ROUNDDOWN(Formulaire_Demande!R287,0)))</f>
        <v>0</v>
      </c>
      <c r="I3" s="100">
        <f>IF(Formulaire_Demande!I281="",0,IF(Formulaire_Demande!I281="La tournée est constituée majoritairement de premières parties",ROUNDDOWN(Formulaire_Demande!K196,0),ROUNDDOWN(Formulaire_Demande!R295,0)))</f>
        <v>0</v>
      </c>
    </row>
    <row r="4" spans="1:9" s="62" customFormat="1" ht="16" customHeight="1" x14ac:dyDescent="0.35">
      <c r="A4" s="74" t="s">
        <v>683</v>
      </c>
      <c r="B4" s="75">
        <f>Recommandation!E56</f>
        <v>0</v>
      </c>
      <c r="C4" s="76"/>
      <c r="D4" s="74" t="s">
        <v>676</v>
      </c>
      <c r="E4" s="75">
        <f>Formulaire_Demande!G287</f>
        <v>0</v>
      </c>
    </row>
    <row r="5" spans="1:9" s="62" customFormat="1" ht="16" customHeight="1" x14ac:dyDescent="0.35">
      <c r="A5" s="74" t="s">
        <v>685</v>
      </c>
      <c r="B5" s="75">
        <f>ROUND(B4*0.7,0)</f>
        <v>0</v>
      </c>
      <c r="C5" s="76"/>
      <c r="D5" s="74" t="s">
        <v>677</v>
      </c>
      <c r="E5" s="75">
        <f>+B5</f>
        <v>0</v>
      </c>
    </row>
    <row r="6" spans="1:9" s="62" customFormat="1" ht="16" customHeight="1" x14ac:dyDescent="0.35">
      <c r="A6" s="74" t="s">
        <v>686</v>
      </c>
      <c r="B6" s="75">
        <f>ROUND(B4*0.3,0)</f>
        <v>0</v>
      </c>
      <c r="C6" s="76"/>
      <c r="D6" s="74" t="s">
        <v>678</v>
      </c>
      <c r="E6" s="75">
        <f>IF(E4="","",IF(E4-E5&lt;0,0,E4-E5))</f>
        <v>0</v>
      </c>
      <c r="G6" s="76"/>
    </row>
    <row r="7" spans="1:9" s="62" customFormat="1" ht="16" customHeight="1" x14ac:dyDescent="0.35">
      <c r="A7" s="74"/>
      <c r="B7" s="77"/>
      <c r="D7" s="74" t="s">
        <v>679</v>
      </c>
      <c r="E7" s="75">
        <f>IF(E4="","",IF(E6-B6&lt;0,E6-B6,0))</f>
        <v>0</v>
      </c>
    </row>
    <row r="8" spans="1:9" s="62" customFormat="1" ht="16" customHeight="1" x14ac:dyDescent="0.35">
      <c r="A8" s="78"/>
      <c r="B8" s="79"/>
      <c r="D8" s="78" t="s">
        <v>684</v>
      </c>
      <c r="E8" s="80">
        <f>IF(E4="","",IF(E4-E5&lt;0,E4-E5,IF(E6&lt;0,E6,0)))</f>
        <v>0</v>
      </c>
    </row>
  </sheetData>
  <sheetProtection algorithmName="SHA-512" hashValue="4KxfeXUF1XWMuEGwz66fMyOp6iPxRkn+iVENOqHfKGFuENuJBTfPD6P5OJhV5fL00eZa7D7WrXAm1IsZXCGBdQ==" saltValue="dPWK9OrILc3ceeuJWgoaTg==" spinCount="100000" sheet="1" objects="1" scenarios="1"/>
  <mergeCells count="3">
    <mergeCell ref="A3:B3"/>
    <mergeCell ref="D3:E3"/>
    <mergeCell ref="A1:E1"/>
  </mergeCells>
  <conditionalFormatting sqref="D7">
    <cfRule type="expression" dxfId="6" priority="8">
      <formula>AND(E4&lt;&gt;"",E7&lt;&gt;0)</formula>
    </cfRule>
  </conditionalFormatting>
  <conditionalFormatting sqref="D8">
    <cfRule type="expression" dxfId="5" priority="6">
      <formula>AND(E4&lt;&gt;"",E8&lt;&gt;0)</formula>
    </cfRule>
  </conditionalFormatting>
  <conditionalFormatting sqref="E4">
    <cfRule type="containsBlanks" dxfId="4" priority="7">
      <formula>LEN(TRIM(E4))=0</formula>
    </cfRule>
  </conditionalFormatting>
  <conditionalFormatting sqref="E7">
    <cfRule type="expression" dxfId="3" priority="9">
      <formula>AND(E4&lt;&gt;"",E7&lt;&gt;"")</formula>
    </cfRule>
  </conditionalFormatting>
  <conditionalFormatting sqref="E8">
    <cfRule type="expression" dxfId="2" priority="5">
      <formula>AND(E4&lt;&gt;"",E8&lt;&gt;"")</formula>
    </cfRule>
  </conditionalFormatting>
  <conditionalFormatting sqref="H1:I1">
    <cfRule type="containsText" dxfId="1" priority="2" operator="containsText" text="Les dépenses admissibles étant moins élevées que prévu, le montant admissible est révisé et il y aura un désengagement de:">
      <formula>NOT(ISERROR(SEARCH("Les dépenses admissibles étant moins élevées que prévu, le montant admissible est révisé et il y aura un désengagement de:",H1)))</formula>
    </cfRule>
  </conditionalFormatting>
  <conditionalFormatting sqref="H3:I3">
    <cfRule type="containsText" dxfId="0" priority="1" operator="containsText" text="Les dépenses admissibles étant moins élevées que prévu, le montant admissible est révisé et il y aura un désengagement de:">
      <formula>NOT(ISERROR(SEARCH("Les dépenses admissibles étant moins élevées que prévu, le montant admissible est révisé et il y aura un désengagement de:",H3)))</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FA4D-48B8-4A31-BB88-D56E246D1C15}">
  <sheetPr>
    <tabColor theme="3" tint="0.59999389629810485"/>
  </sheetPr>
  <dimension ref="A1:C18"/>
  <sheetViews>
    <sheetView showGridLines="0" zoomScaleNormal="100" workbookViewId="0">
      <selection activeCell="C7" sqref="C7:Y7"/>
    </sheetView>
  </sheetViews>
  <sheetFormatPr baseColWidth="10" defaultRowHeight="14.5" x14ac:dyDescent="0.35"/>
  <cols>
    <col min="1" max="1" width="28.36328125" bestFit="1" customWidth="1"/>
    <col min="2" max="2" width="5.1796875" style="12" bestFit="1" customWidth="1"/>
    <col min="3" max="3" width="5.1796875" bestFit="1" customWidth="1"/>
  </cols>
  <sheetData>
    <row r="1" spans="1:3" ht="61.5" customHeight="1" x14ac:dyDescent="0.35">
      <c r="A1" s="1236" t="s">
        <v>510</v>
      </c>
      <c r="B1" s="1236"/>
      <c r="C1" s="1236"/>
    </row>
    <row r="5" spans="1:3" hidden="1" x14ac:dyDescent="0.35">
      <c r="B5"/>
    </row>
    <row r="6" spans="1:3" x14ac:dyDescent="0.35">
      <c r="A6" s="31" t="s">
        <v>592</v>
      </c>
      <c r="B6"/>
    </row>
    <row r="7" spans="1:3" x14ac:dyDescent="0.35">
      <c r="A7" t="s">
        <v>508</v>
      </c>
      <c r="B7"/>
    </row>
    <row r="8" spans="1:3" x14ac:dyDescent="0.35">
      <c r="A8" t="s">
        <v>477</v>
      </c>
      <c r="B8"/>
    </row>
    <row r="9" spans="1:3" x14ac:dyDescent="0.35">
      <c r="B9"/>
    </row>
    <row r="10" spans="1:3" x14ac:dyDescent="0.35">
      <c r="B10"/>
    </row>
    <row r="11" spans="1:3" x14ac:dyDescent="0.35">
      <c r="B11"/>
    </row>
    <row r="12" spans="1:3" x14ac:dyDescent="0.35">
      <c r="B12"/>
    </row>
    <row r="13" spans="1:3" x14ac:dyDescent="0.35">
      <c r="B13"/>
    </row>
    <row r="14" spans="1:3" x14ac:dyDescent="0.35">
      <c r="B14"/>
    </row>
    <row r="15" spans="1:3" x14ac:dyDescent="0.35">
      <c r="B15"/>
    </row>
    <row r="16" spans="1:3" x14ac:dyDescent="0.35">
      <c r="B16"/>
    </row>
    <row r="17" customFormat="1" x14ac:dyDescent="0.35"/>
    <row r="18" customFormat="1" x14ac:dyDescent="0.35"/>
  </sheetData>
  <sheetProtection algorithmName="SHA-512" hashValue="Yiuxu7WCMeym8+n8l2N2HzG4+TX8W3XM+u1/UMbJXKA6VHVmb8JWBCfl82uYz+Ez/AtoUUEvVGrrAJaWTN1Egw==" saltValue="3VQtzbhETglfNfa8xevu+A==" spinCount="100000" sheet="1" objects="1" scenarios="1" pivotTables="0"/>
  <mergeCells count="1">
    <mergeCell ref="A1:C1"/>
  </mergeCells>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1A81-EF43-403F-A704-1408D3F0D230}">
  <sheetPr>
    <tabColor theme="3" tint="0.59999389629810485"/>
  </sheetPr>
  <dimension ref="A1:AE22"/>
  <sheetViews>
    <sheetView workbookViewId="0">
      <selection activeCell="C7" sqref="C7:Y7"/>
    </sheetView>
  </sheetViews>
  <sheetFormatPr baseColWidth="10" defaultRowHeight="14.5" x14ac:dyDescent="0.35"/>
  <cols>
    <col min="1" max="1" width="12.36328125" style="12" bestFit="1" customWidth="1"/>
    <col min="2" max="2" width="26.90625" style="87" customWidth="1"/>
    <col min="3" max="3" width="17.08984375" style="87" customWidth="1"/>
    <col min="4" max="4" width="27.81640625" style="87" bestFit="1" customWidth="1"/>
    <col min="5" max="8" width="17.08984375" style="87" customWidth="1"/>
    <col min="9" max="9" width="34.54296875" style="87" customWidth="1"/>
    <col min="10" max="10" width="30.1796875" style="87" bestFit="1" customWidth="1"/>
    <col min="11" max="11" width="18.08984375" style="12" customWidth="1"/>
    <col min="12" max="12" width="24" style="87" bestFit="1" customWidth="1"/>
    <col min="13" max="14" width="34.54296875" style="87" customWidth="1"/>
    <col min="15" max="15" width="20" style="12" bestFit="1" customWidth="1"/>
    <col min="16" max="18" width="20" style="12" customWidth="1"/>
    <col min="19" max="21" width="20" style="89" customWidth="1"/>
    <col min="22" max="22" width="21.36328125" style="89" bestFit="1" customWidth="1"/>
    <col min="23" max="24" width="20" style="89" customWidth="1"/>
    <col min="25" max="25" width="23.1796875" style="89" bestFit="1" customWidth="1"/>
    <col min="26" max="27" width="24" style="87" customWidth="1"/>
    <col min="28" max="28" width="24.1796875" customWidth="1"/>
    <col min="29" max="29" width="17.1796875" customWidth="1"/>
    <col min="30" max="30" width="20.453125" customWidth="1"/>
    <col min="31" max="31" width="15.90625" bestFit="1" customWidth="1"/>
  </cols>
  <sheetData>
    <row r="1" spans="1:31" x14ac:dyDescent="0.35">
      <c r="A1" s="81" t="s">
        <v>466</v>
      </c>
      <c r="B1" s="82" t="s">
        <v>456</v>
      </c>
      <c r="C1" s="82" t="s">
        <v>467</v>
      </c>
      <c r="D1" s="82" t="s">
        <v>816</v>
      </c>
      <c r="E1" s="81" t="s">
        <v>817</v>
      </c>
      <c r="F1" s="81" t="s">
        <v>463</v>
      </c>
      <c r="G1" s="82" t="s">
        <v>712</v>
      </c>
      <c r="H1" s="82" t="s">
        <v>713</v>
      </c>
      <c r="I1" s="82" t="s">
        <v>468</v>
      </c>
      <c r="J1" s="82" t="s">
        <v>482</v>
      </c>
      <c r="K1" s="81" t="s">
        <v>481</v>
      </c>
      <c r="L1" s="83" t="s">
        <v>504</v>
      </c>
      <c r="M1" s="82" t="s">
        <v>524</v>
      </c>
      <c r="N1" s="82" t="s">
        <v>525</v>
      </c>
      <c r="O1" s="81" t="s">
        <v>478</v>
      </c>
      <c r="P1" s="81" t="s">
        <v>711</v>
      </c>
      <c r="Q1" s="81" t="s">
        <v>714</v>
      </c>
      <c r="R1" s="81" t="s">
        <v>715</v>
      </c>
      <c r="S1" s="84" t="s">
        <v>601</v>
      </c>
      <c r="T1" s="84" t="s">
        <v>436</v>
      </c>
      <c r="U1" s="84" t="s">
        <v>437</v>
      </c>
      <c r="V1" s="84" t="s">
        <v>483</v>
      </c>
      <c r="W1" s="84" t="str">
        <f>"Autres"&amp;" "&amp;Formulaire_Demande!D259</f>
        <v xml:space="preserve">Autres </v>
      </c>
      <c r="X1" s="84" t="str">
        <f>"Autres"&amp;" "&amp;Formulaire_Demande!D260</f>
        <v xml:space="preserve">Autres </v>
      </c>
      <c r="Y1" s="84" t="s">
        <v>480</v>
      </c>
      <c r="Z1" s="83" t="s">
        <v>718</v>
      </c>
      <c r="AA1" s="83" t="s">
        <v>719</v>
      </c>
      <c r="AB1" s="85" t="s">
        <v>710</v>
      </c>
      <c r="AC1" s="85" t="s">
        <v>720</v>
      </c>
      <c r="AD1" s="85" t="s">
        <v>721</v>
      </c>
      <c r="AE1" s="85" t="s">
        <v>722</v>
      </c>
    </row>
    <row r="2" spans="1:31" s="7" customFormat="1" ht="40" customHeight="1" x14ac:dyDescent="0.35">
      <c r="A2" s="92" t="str">
        <f>IF(MID(Recommandation!H8,5,2)="24","2023-2024",
IF(MID(Recommandation!H8,5,2)="25","2024-2025",
IF(MID(Recommandation!H8,5,2)="26","2025-2026",
IF(MID(Recommandation!H8,5,2)="27","2026-2027",
IF(MID(Recommandation!H8,5,2)="28","2027-2028",
IF(MID(Recommandation!H8,5,2)="29","2028-2029",
IF(MID(Recommandation!H8,5,2)="30","2029-2030",
"")))))))</f>
        <v/>
      </c>
      <c r="B2" s="86">
        <f>Formulaire_Demande!G22</f>
        <v>0</v>
      </c>
      <c r="C2" s="86">
        <f>Formulaire_Demande!G77</f>
        <v>0</v>
      </c>
      <c r="D2" s="86" t="str">
        <f>IF(Formulaire_Demande!G87="","","Tournée"&amp;" "&amp;Formulaire_Demande!G87&amp;" * "&amp;TEXT(Formulaire_Demande!G85,"jj mmmm aaaa")&amp;" au "&amp;TEXT(Formulaire_Demande!G86,"jj mmmm aaaa"))</f>
        <v/>
      </c>
      <c r="E2" s="92" t="str">
        <f>IF(Recommandation!H8="","",REPLACE(Recommandation!M1,SEARCH("-",Recommandation!M1),1," "))</f>
        <v/>
      </c>
      <c r="F2" s="92">
        <f>Recommandation!E8</f>
        <v>0</v>
      </c>
      <c r="G2" s="86">
        <f>Formulaire_Demande!G79</f>
        <v>0</v>
      </c>
      <c r="H2" s="86">
        <f>Formulaire_Demande!G80</f>
        <v>0</v>
      </c>
      <c r="I2" s="86">
        <f>IF(Formulaire_Demande!G81="Autres",Formulaire_Demande!J81,IF(Formulaire_Demande!G81="Multilingues",Formulaire_Demande!J81,Formulaire_Demande!G81))</f>
        <v>0</v>
      </c>
      <c r="J2" s="86" t="str">
        <f>IF(Formulaire_Demande!G141="","",IF(Formulaire_Demande!G141="Non","Aucune",Formulaire_Demande!J141))</f>
        <v/>
      </c>
      <c r="K2" s="92" t="str">
        <f>IF(Formulaire_Demande!J142="","",Formulaire_Demande!J142)</f>
        <v/>
      </c>
      <c r="L2" s="86" t="str">
        <f>IF(Formulaire_Demande!J143="","",Formulaire_Demande!J143)</f>
        <v/>
      </c>
      <c r="M2" s="86" t="str">
        <f>_xlfn.TEXTJOIN(" / ",,RAPPORT_FINAL_Calendrier!I20:I69,RAPPORT_FINAL_Calendrier!I82:I91)</f>
        <v/>
      </c>
      <c r="N2" s="86" t="str">
        <f>_xlfn.TEXTJOIN(" / ",,RAPPORT_FINAL_Calendrier!J20:J69,RAPPORT_FINAL_Calendrier!J82:J91)</f>
        <v/>
      </c>
      <c r="O2" s="92">
        <f>RAPPORT_FINAL_Calendrier!AE72</f>
        <v>0</v>
      </c>
      <c r="P2" s="92">
        <f>RAPPORT_FINAL_Équipe_Tournée!Q34</f>
        <v>0</v>
      </c>
      <c r="Q2" s="92">
        <f>RAPPORT_FINAL_Équipe_Tournée!Q36</f>
        <v>0</v>
      </c>
      <c r="R2" s="92">
        <f>RAPPORT_FINAL_Équipe_Tournée!Q39</f>
        <v>0</v>
      </c>
      <c r="S2" s="93">
        <f>RAPPORT_FINAL_Calendrier!M70+RAPPORT_FINAL_Calendrier!M92</f>
        <v>0</v>
      </c>
      <c r="T2" s="93">
        <f>+RAPPORT_FINAL_Calendrier!N70+RAPPORT_FINAL_Calendrier!N92</f>
        <v>0</v>
      </c>
      <c r="U2" s="93">
        <f>Formulaire_Demande!I257</f>
        <v>0</v>
      </c>
      <c r="V2" s="93">
        <f>Formulaire_Demande!I258</f>
        <v>0</v>
      </c>
      <c r="W2" s="93">
        <f>Formulaire_Demande!I259</f>
        <v>0</v>
      </c>
      <c r="X2" s="93">
        <f>Formulaire_Demande!I260</f>
        <v>0</v>
      </c>
      <c r="Y2" s="93">
        <f>Formulaire_Demande!I262</f>
        <v>0</v>
      </c>
      <c r="Z2" s="93">
        <f>SUM(RAPPORT_FINAL_Équipe_Tournée!G34+RAPPORT_FINAL_Transport!G33,RAPPORT_FINAL_Transport!D33)</f>
        <v>0</v>
      </c>
      <c r="AA2" s="93">
        <f>Formulaire_Demande!I211</f>
        <v>0</v>
      </c>
      <c r="AB2" s="7" t="str">
        <f>_xlfn.TEXTJOIN(" / ",,RAPPORT_FINAL_Transport!C26:C28)</f>
        <v>Sélection à déterminer / Sélection à déterminer / Sélection à déterminer</v>
      </c>
      <c r="AC2" s="93">
        <f>+RAPPORT_FINAL_Transport!L29</f>
        <v>0</v>
      </c>
      <c r="AD2" s="93">
        <f>+RAPPORT_FINAL_Transport!P29</f>
        <v>0</v>
      </c>
      <c r="AE2" s="93">
        <f>+Formulaire_Demande!I217</f>
        <v>0</v>
      </c>
    </row>
    <row r="3" spans="1:31" x14ac:dyDescent="0.35">
      <c r="O3" s="87"/>
      <c r="P3" s="87"/>
      <c r="Q3" s="87"/>
      <c r="R3" s="87"/>
      <c r="S3" s="87"/>
      <c r="T3" s="87"/>
      <c r="U3" s="87"/>
      <c r="V3" s="87"/>
      <c r="W3" s="87"/>
      <c r="X3" s="87"/>
      <c r="Y3" s="87"/>
    </row>
    <row r="6" spans="1:31" x14ac:dyDescent="0.35">
      <c r="E6" s="102"/>
    </row>
    <row r="13" spans="1:31" ht="15.5" x14ac:dyDescent="0.35">
      <c r="B13" s="88"/>
    </row>
    <row r="14" spans="1:31" ht="15.5" x14ac:dyDescent="0.35">
      <c r="B14" s="90"/>
      <c r="AB14" s="87"/>
    </row>
    <row r="15" spans="1:31" ht="15.5" x14ac:dyDescent="0.35">
      <c r="B15" s="90"/>
    </row>
    <row r="16" spans="1:31" ht="15.5" x14ac:dyDescent="0.35">
      <c r="B16" s="90"/>
    </row>
    <row r="17" spans="2:2" ht="15.5" x14ac:dyDescent="0.35">
      <c r="B17" s="90"/>
    </row>
    <row r="18" spans="2:2" ht="15.5" x14ac:dyDescent="0.35">
      <c r="B18" s="91"/>
    </row>
    <row r="19" spans="2:2" ht="15.5" x14ac:dyDescent="0.35">
      <c r="B19" s="91"/>
    </row>
    <row r="20" spans="2:2" ht="15.5" x14ac:dyDescent="0.35">
      <c r="B20" s="91"/>
    </row>
    <row r="21" spans="2:2" ht="15.5" x14ac:dyDescent="0.35">
      <c r="B21" s="91"/>
    </row>
    <row r="22" spans="2:2" ht="15.5" x14ac:dyDescent="0.35">
      <c r="B22" s="91"/>
    </row>
  </sheetData>
  <sheetProtection algorithmName="SHA-512" hashValue="Few7zda2m6RY0o2DJ1X+mcF5cvGCgJ6Rav7oR2tBZTeuzI40zxo/cNDFO3OPixqSHeBiutYvEknOPxfXMhQxiA==" saltValue="yL8HorK6XlK0Ue3lERHmzw=="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D3D1-FF80-4DC3-9A91-F54AA143AB47}">
  <sheetPr codeName="Feuil9">
    <tabColor theme="3" tint="0.59999389629810485"/>
  </sheetPr>
  <dimension ref="A1:N262"/>
  <sheetViews>
    <sheetView workbookViewId="0">
      <selection activeCell="C7" sqref="C7:Y7"/>
    </sheetView>
  </sheetViews>
  <sheetFormatPr baseColWidth="10" defaultColWidth="10.81640625" defaultRowHeight="14" x14ac:dyDescent="0.3"/>
  <cols>
    <col min="1" max="2" width="10.81640625" style="2"/>
    <col min="3" max="3" width="13.6328125" style="1" bestFit="1" customWidth="1"/>
    <col min="4" max="4" width="26.1796875" style="2" customWidth="1"/>
    <col min="5" max="5" width="10.81640625" style="1"/>
    <col min="6" max="6" width="45.08984375" style="1" customWidth="1"/>
    <col min="7" max="7" width="19.453125" style="1" bestFit="1" customWidth="1"/>
    <col min="8" max="8" width="26" style="1" bestFit="1" customWidth="1"/>
    <col min="9" max="9" width="20" style="1" bestFit="1" customWidth="1"/>
    <col min="10" max="10" width="42" style="1" bestFit="1" customWidth="1"/>
    <col min="11" max="11" width="22.81640625" style="1" bestFit="1" customWidth="1"/>
    <col min="12" max="12" width="14.54296875" style="1" bestFit="1" customWidth="1"/>
    <col min="13" max="13" width="46.453125" style="1" bestFit="1" customWidth="1"/>
    <col min="14" max="14" width="10.81640625" style="2"/>
    <col min="15" max="16384" width="10.81640625" style="1"/>
  </cols>
  <sheetData>
    <row r="1" spans="1:14" ht="14.5" x14ac:dyDescent="0.35">
      <c r="A1" s="3" t="s">
        <v>0</v>
      </c>
      <c r="B1" s="3"/>
      <c r="C1" s="4" t="s">
        <v>468</v>
      </c>
      <c r="D1" s="5" t="s">
        <v>50</v>
      </c>
      <c r="E1" s="5" t="s">
        <v>60</v>
      </c>
      <c r="F1" s="11" t="s">
        <v>514</v>
      </c>
      <c r="G1" t="s">
        <v>343</v>
      </c>
      <c r="H1" s="1" t="s">
        <v>346</v>
      </c>
      <c r="I1" s="1" t="s">
        <v>352</v>
      </c>
      <c r="J1" s="4" t="s">
        <v>367</v>
      </c>
      <c r="K1" s="4" t="s">
        <v>357</v>
      </c>
      <c r="L1" s="4" t="s">
        <v>629</v>
      </c>
      <c r="M1" s="4" t="s">
        <v>670</v>
      </c>
      <c r="N1" s="3" t="s">
        <v>666</v>
      </c>
    </row>
    <row r="2" spans="1:14" ht="14.5" x14ac:dyDescent="0.35">
      <c r="A2" s="2" t="s">
        <v>474</v>
      </c>
      <c r="B2" s="2" t="s">
        <v>500</v>
      </c>
      <c r="C2" s="7" t="s">
        <v>469</v>
      </c>
      <c r="D2" s="6" t="s">
        <v>51</v>
      </c>
      <c r="F2" t="s">
        <v>89</v>
      </c>
      <c r="G2" t="s">
        <v>344</v>
      </c>
      <c r="H2" s="1" t="s">
        <v>347</v>
      </c>
      <c r="I2" s="1" t="s">
        <v>353</v>
      </c>
      <c r="J2" s="1" t="s">
        <v>360</v>
      </c>
      <c r="K2" s="32" t="s">
        <v>531</v>
      </c>
      <c r="L2" s="1" t="s">
        <v>630</v>
      </c>
      <c r="M2" s="68" t="s">
        <v>740</v>
      </c>
      <c r="N2" s="2">
        <v>40</v>
      </c>
    </row>
    <row r="3" spans="1:14" ht="14.5" x14ac:dyDescent="0.35">
      <c r="A3" s="2" t="s">
        <v>475</v>
      </c>
      <c r="B3" s="2" t="s">
        <v>501</v>
      </c>
      <c r="C3" s="7" t="s">
        <v>470</v>
      </c>
      <c r="D3" s="6" t="s">
        <v>52</v>
      </c>
      <c r="F3" t="s">
        <v>90</v>
      </c>
      <c r="G3" t="s">
        <v>345</v>
      </c>
      <c r="H3" s="1" t="s">
        <v>348</v>
      </c>
      <c r="I3" s="1" t="s">
        <v>502</v>
      </c>
      <c r="J3" s="1" t="s">
        <v>361</v>
      </c>
      <c r="K3" s="32" t="s">
        <v>532</v>
      </c>
      <c r="L3" s="1" t="s">
        <v>424</v>
      </c>
      <c r="M3" s="68" t="s">
        <v>741</v>
      </c>
      <c r="N3" s="2">
        <v>15</v>
      </c>
    </row>
    <row r="4" spans="1:14" ht="14.5" x14ac:dyDescent="0.35">
      <c r="C4" s="7" t="s">
        <v>560</v>
      </c>
      <c r="D4" s="6" t="s">
        <v>53</v>
      </c>
      <c r="F4" t="s">
        <v>91</v>
      </c>
      <c r="H4" s="1" t="s">
        <v>349</v>
      </c>
      <c r="J4" s="1" t="s">
        <v>362</v>
      </c>
      <c r="K4" s="32" t="s">
        <v>533</v>
      </c>
      <c r="L4" s="1" t="s">
        <v>631</v>
      </c>
      <c r="M4" s="68" t="s">
        <v>742</v>
      </c>
      <c r="N4" s="2">
        <v>8.5</v>
      </c>
    </row>
    <row r="5" spans="1:14" ht="14.5" x14ac:dyDescent="0.35">
      <c r="C5" s="7" t="s">
        <v>471</v>
      </c>
      <c r="D5" s="6" t="s">
        <v>54</v>
      </c>
      <c r="F5" t="s">
        <v>92</v>
      </c>
      <c r="H5" s="1" t="s">
        <v>717</v>
      </c>
      <c r="J5" s="1" t="s">
        <v>363</v>
      </c>
      <c r="K5" s="32" t="s">
        <v>534</v>
      </c>
      <c r="L5" s="1" t="s">
        <v>632</v>
      </c>
      <c r="M5" s="68" t="s">
        <v>777</v>
      </c>
    </row>
    <row r="6" spans="1:14" ht="14.5" x14ac:dyDescent="0.35">
      <c r="C6" s="7" t="s">
        <v>472</v>
      </c>
      <c r="D6" s="6"/>
      <c r="F6" t="s">
        <v>93</v>
      </c>
      <c r="H6" s="1" t="s">
        <v>350</v>
      </c>
      <c r="J6" s="1" t="s">
        <v>364</v>
      </c>
      <c r="K6" s="32" t="s">
        <v>535</v>
      </c>
      <c r="L6" s="1" t="s">
        <v>633</v>
      </c>
      <c r="M6" s="68" t="s">
        <v>778</v>
      </c>
    </row>
    <row r="7" spans="1:14" ht="14.5" x14ac:dyDescent="0.35">
      <c r="C7" s="7" t="s">
        <v>527</v>
      </c>
      <c r="D7" s="6"/>
      <c r="F7" t="s">
        <v>94</v>
      </c>
      <c r="H7" s="1" t="s">
        <v>351</v>
      </c>
      <c r="J7" s="1" t="s">
        <v>365</v>
      </c>
      <c r="K7" s="32" t="s">
        <v>536</v>
      </c>
      <c r="M7" s="68" t="s">
        <v>779</v>
      </c>
    </row>
    <row r="8" spans="1:14" ht="14.5" x14ac:dyDescent="0.35">
      <c r="C8" s="7"/>
      <c r="D8" s="6"/>
      <c r="F8" t="s">
        <v>95</v>
      </c>
      <c r="J8" s="1" t="s">
        <v>366</v>
      </c>
      <c r="K8" s="32" t="s">
        <v>537</v>
      </c>
      <c r="M8" s="59"/>
    </row>
    <row r="9" spans="1:14" ht="14.5" x14ac:dyDescent="0.35">
      <c r="C9" s="7"/>
      <c r="D9" s="6"/>
      <c r="F9" t="s">
        <v>96</v>
      </c>
      <c r="K9" s="32" t="s">
        <v>538</v>
      </c>
    </row>
    <row r="10" spans="1:14" ht="14.5" x14ac:dyDescent="0.35">
      <c r="C10" s="7"/>
      <c r="D10" s="6"/>
      <c r="F10" t="s">
        <v>97</v>
      </c>
      <c r="K10" s="32" t="s">
        <v>358</v>
      </c>
    </row>
    <row r="11" spans="1:14" ht="14.5" x14ac:dyDescent="0.35">
      <c r="D11" s="6"/>
      <c r="F11" t="s">
        <v>98</v>
      </c>
      <c r="K11" s="32" t="s">
        <v>539</v>
      </c>
    </row>
    <row r="12" spans="1:14" ht="14.5" x14ac:dyDescent="0.35">
      <c r="D12" s="6"/>
      <c r="F12" t="s">
        <v>99</v>
      </c>
      <c r="K12" s="32" t="s">
        <v>527</v>
      </c>
    </row>
    <row r="13" spans="1:14" ht="14.5" x14ac:dyDescent="0.35">
      <c r="F13" t="s">
        <v>100</v>
      </c>
      <c r="K13" s="32" t="s">
        <v>540</v>
      </c>
    </row>
    <row r="14" spans="1:14" ht="14.5" x14ac:dyDescent="0.35">
      <c r="F14" t="s">
        <v>101</v>
      </c>
      <c r="K14" s="32" t="s">
        <v>541</v>
      </c>
    </row>
    <row r="15" spans="1:14" ht="14.5" x14ac:dyDescent="0.35">
      <c r="F15" t="s">
        <v>102</v>
      </c>
      <c r="K15" s="32" t="s">
        <v>359</v>
      </c>
    </row>
    <row r="16" spans="1:14" ht="14.5" x14ac:dyDescent="0.35">
      <c r="F16" t="s">
        <v>103</v>
      </c>
      <c r="K16" s="32" t="s">
        <v>542</v>
      </c>
    </row>
    <row r="17" spans="6:11" ht="14.5" x14ac:dyDescent="0.35">
      <c r="F17" t="s">
        <v>104</v>
      </c>
      <c r="K17" s="32" t="s">
        <v>543</v>
      </c>
    </row>
    <row r="18" spans="6:11" ht="14.5" x14ac:dyDescent="0.35">
      <c r="F18" t="s">
        <v>105</v>
      </c>
      <c r="K18" s="32" t="s">
        <v>544</v>
      </c>
    </row>
    <row r="19" spans="6:11" ht="14.5" x14ac:dyDescent="0.35">
      <c r="F19" t="s">
        <v>106</v>
      </c>
      <c r="K19" s="32" t="s">
        <v>545</v>
      </c>
    </row>
    <row r="20" spans="6:11" ht="14.5" x14ac:dyDescent="0.35">
      <c r="F20" t="s">
        <v>107</v>
      </c>
      <c r="K20" s="32" t="s">
        <v>546</v>
      </c>
    </row>
    <row r="21" spans="6:11" ht="14.5" x14ac:dyDescent="0.35">
      <c r="F21" t="s">
        <v>108</v>
      </c>
      <c r="K21" s="32" t="s">
        <v>547</v>
      </c>
    </row>
    <row r="22" spans="6:11" ht="14.5" x14ac:dyDescent="0.35">
      <c r="F22" t="s">
        <v>109</v>
      </c>
      <c r="K22" s="32" t="s">
        <v>548</v>
      </c>
    </row>
    <row r="23" spans="6:11" ht="14.5" x14ac:dyDescent="0.35">
      <c r="F23" t="s">
        <v>110</v>
      </c>
      <c r="K23" s="32" t="s">
        <v>549</v>
      </c>
    </row>
    <row r="24" spans="6:11" ht="14.5" x14ac:dyDescent="0.35">
      <c r="F24" t="s">
        <v>111</v>
      </c>
      <c r="K24" s="32" t="s">
        <v>472</v>
      </c>
    </row>
    <row r="25" spans="6:11" ht="14.5" x14ac:dyDescent="0.35">
      <c r="F25" t="s">
        <v>112</v>
      </c>
    </row>
    <row r="26" spans="6:11" ht="14.5" x14ac:dyDescent="0.35">
      <c r="F26" t="s">
        <v>113</v>
      </c>
    </row>
    <row r="27" spans="6:11" ht="14.5" x14ac:dyDescent="0.35">
      <c r="F27" t="s">
        <v>114</v>
      </c>
    </row>
    <row r="28" spans="6:11" ht="14.5" x14ac:dyDescent="0.35">
      <c r="F28" t="s">
        <v>115</v>
      </c>
    </row>
    <row r="29" spans="6:11" ht="14.5" x14ac:dyDescent="0.35">
      <c r="F29" t="s">
        <v>116</v>
      </c>
    </row>
    <row r="30" spans="6:11" ht="14.5" x14ac:dyDescent="0.35">
      <c r="F30" t="s">
        <v>117</v>
      </c>
    </row>
    <row r="31" spans="6:11" ht="14.5" x14ac:dyDescent="0.35">
      <c r="F31" t="s">
        <v>118</v>
      </c>
    </row>
    <row r="32" spans="6:11" ht="14.5" x14ac:dyDescent="0.35">
      <c r="F32" t="s">
        <v>119</v>
      </c>
    </row>
    <row r="33" spans="6:6" ht="14.5" x14ac:dyDescent="0.35">
      <c r="F33" t="s">
        <v>120</v>
      </c>
    </row>
    <row r="34" spans="6:6" ht="14.5" x14ac:dyDescent="0.35">
      <c r="F34" t="s">
        <v>121</v>
      </c>
    </row>
    <row r="35" spans="6:6" ht="14.5" x14ac:dyDescent="0.35">
      <c r="F35" t="s">
        <v>122</v>
      </c>
    </row>
    <row r="36" spans="6:6" ht="14.5" x14ac:dyDescent="0.35">
      <c r="F36" t="s">
        <v>123</v>
      </c>
    </row>
    <row r="37" spans="6:6" ht="14.5" x14ac:dyDescent="0.35">
      <c r="F37" t="s">
        <v>124</v>
      </c>
    </row>
    <row r="38" spans="6:6" ht="14.5" x14ac:dyDescent="0.35">
      <c r="F38" t="s">
        <v>125</v>
      </c>
    </row>
    <row r="39" spans="6:6" ht="14.5" x14ac:dyDescent="0.35">
      <c r="F39" t="s">
        <v>126</v>
      </c>
    </row>
    <row r="40" spans="6:6" ht="14.5" x14ac:dyDescent="0.35">
      <c r="F40" t="s">
        <v>127</v>
      </c>
    </row>
    <row r="41" spans="6:6" ht="14.5" x14ac:dyDescent="0.35">
      <c r="F41" t="s">
        <v>128</v>
      </c>
    </row>
    <row r="42" spans="6:6" ht="14.5" x14ac:dyDescent="0.35">
      <c r="F42" t="s">
        <v>129</v>
      </c>
    </row>
    <row r="43" spans="6:6" ht="14.5" x14ac:dyDescent="0.35">
      <c r="F43" t="s">
        <v>130</v>
      </c>
    </row>
    <row r="44" spans="6:6" ht="14.5" x14ac:dyDescent="0.35">
      <c r="F44" t="s">
        <v>131</v>
      </c>
    </row>
    <row r="45" spans="6:6" ht="14.5" x14ac:dyDescent="0.35">
      <c r="F45" t="s">
        <v>132</v>
      </c>
    </row>
    <row r="46" spans="6:6" ht="14.5" x14ac:dyDescent="0.35">
      <c r="F46" t="s">
        <v>133</v>
      </c>
    </row>
    <row r="47" spans="6:6" ht="14.5" x14ac:dyDescent="0.35">
      <c r="F47" t="s">
        <v>134</v>
      </c>
    </row>
    <row r="48" spans="6:6" ht="14.5" x14ac:dyDescent="0.35">
      <c r="F48" t="s">
        <v>135</v>
      </c>
    </row>
    <row r="49" spans="6:6" ht="14.5" x14ac:dyDescent="0.35">
      <c r="F49" t="s">
        <v>136</v>
      </c>
    </row>
    <row r="50" spans="6:6" ht="14.5" x14ac:dyDescent="0.35">
      <c r="F50" t="s">
        <v>137</v>
      </c>
    </row>
    <row r="51" spans="6:6" ht="14.5" x14ac:dyDescent="0.35">
      <c r="F51" t="s">
        <v>138</v>
      </c>
    </row>
    <row r="52" spans="6:6" ht="14.5" x14ac:dyDescent="0.35">
      <c r="F52" t="s">
        <v>139</v>
      </c>
    </row>
    <row r="53" spans="6:6" ht="14.5" x14ac:dyDescent="0.35">
      <c r="F53" t="s">
        <v>140</v>
      </c>
    </row>
    <row r="54" spans="6:6" ht="14.5" x14ac:dyDescent="0.35">
      <c r="F54" t="s">
        <v>141</v>
      </c>
    </row>
    <row r="55" spans="6:6" ht="14.5" x14ac:dyDescent="0.35">
      <c r="F55" t="s">
        <v>142</v>
      </c>
    </row>
    <row r="56" spans="6:6" ht="14.5" x14ac:dyDescent="0.35">
      <c r="F56" t="s">
        <v>143</v>
      </c>
    </row>
    <row r="57" spans="6:6" ht="14.5" x14ac:dyDescent="0.35">
      <c r="F57" t="s">
        <v>144</v>
      </c>
    </row>
    <row r="58" spans="6:6" ht="14.5" x14ac:dyDescent="0.35">
      <c r="F58" t="s">
        <v>145</v>
      </c>
    </row>
    <row r="59" spans="6:6" ht="14.5" x14ac:dyDescent="0.35">
      <c r="F59" t="s">
        <v>146</v>
      </c>
    </row>
    <row r="60" spans="6:6" ht="14.5" x14ac:dyDescent="0.35">
      <c r="F60" t="s">
        <v>147</v>
      </c>
    </row>
    <row r="61" spans="6:6" ht="14.5" x14ac:dyDescent="0.35">
      <c r="F61" t="s">
        <v>148</v>
      </c>
    </row>
    <row r="62" spans="6:6" ht="14.5" x14ac:dyDescent="0.35">
      <c r="F62" t="s">
        <v>149</v>
      </c>
    </row>
    <row r="63" spans="6:6" ht="14.5" x14ac:dyDescent="0.35">
      <c r="F63" t="s">
        <v>150</v>
      </c>
    </row>
    <row r="64" spans="6:6" ht="14.5" x14ac:dyDescent="0.35">
      <c r="F64" t="s">
        <v>151</v>
      </c>
    </row>
    <row r="65" spans="6:6" ht="14.5" x14ac:dyDescent="0.35">
      <c r="F65" t="s">
        <v>152</v>
      </c>
    </row>
    <row r="66" spans="6:6" ht="14.5" x14ac:dyDescent="0.35">
      <c r="F66" t="s">
        <v>153</v>
      </c>
    </row>
    <row r="67" spans="6:6" ht="14.5" x14ac:dyDescent="0.35">
      <c r="F67" t="s">
        <v>154</v>
      </c>
    </row>
    <row r="68" spans="6:6" ht="14.5" x14ac:dyDescent="0.35">
      <c r="F68" t="s">
        <v>155</v>
      </c>
    </row>
    <row r="69" spans="6:6" ht="14.5" x14ac:dyDescent="0.35">
      <c r="F69" t="s">
        <v>156</v>
      </c>
    </row>
    <row r="70" spans="6:6" ht="14.5" x14ac:dyDescent="0.35">
      <c r="F70" t="s">
        <v>157</v>
      </c>
    </row>
    <row r="71" spans="6:6" ht="14.5" x14ac:dyDescent="0.35">
      <c r="F71" t="s">
        <v>158</v>
      </c>
    </row>
    <row r="72" spans="6:6" ht="14.5" x14ac:dyDescent="0.35">
      <c r="F72" t="s">
        <v>159</v>
      </c>
    </row>
    <row r="73" spans="6:6" ht="14.5" x14ac:dyDescent="0.35">
      <c r="F73" t="s">
        <v>160</v>
      </c>
    </row>
    <row r="74" spans="6:6" ht="14.5" x14ac:dyDescent="0.35">
      <c r="F74" t="s">
        <v>161</v>
      </c>
    </row>
    <row r="75" spans="6:6" ht="14.5" x14ac:dyDescent="0.35">
      <c r="F75" t="s">
        <v>162</v>
      </c>
    </row>
    <row r="76" spans="6:6" ht="14.5" x14ac:dyDescent="0.35">
      <c r="F76" t="s">
        <v>163</v>
      </c>
    </row>
    <row r="77" spans="6:6" ht="14.5" x14ac:dyDescent="0.35">
      <c r="F77" t="s">
        <v>164</v>
      </c>
    </row>
    <row r="78" spans="6:6" ht="14.5" x14ac:dyDescent="0.35">
      <c r="F78" t="s">
        <v>165</v>
      </c>
    </row>
    <row r="79" spans="6:6" ht="14.5" x14ac:dyDescent="0.35">
      <c r="F79" t="s">
        <v>166</v>
      </c>
    </row>
    <row r="80" spans="6:6" ht="14.5" x14ac:dyDescent="0.35">
      <c r="F80" t="s">
        <v>167</v>
      </c>
    </row>
    <row r="81" spans="6:6" ht="14.5" x14ac:dyDescent="0.35">
      <c r="F81" t="s">
        <v>168</v>
      </c>
    </row>
    <row r="82" spans="6:6" ht="14.5" x14ac:dyDescent="0.35">
      <c r="F82" t="s">
        <v>169</v>
      </c>
    </row>
    <row r="83" spans="6:6" ht="14.5" x14ac:dyDescent="0.35">
      <c r="F83" t="s">
        <v>170</v>
      </c>
    </row>
    <row r="84" spans="6:6" ht="14.5" x14ac:dyDescent="0.35">
      <c r="F84" t="s">
        <v>171</v>
      </c>
    </row>
    <row r="85" spans="6:6" ht="14.5" x14ac:dyDescent="0.35">
      <c r="F85" t="s">
        <v>172</v>
      </c>
    </row>
    <row r="86" spans="6:6" ht="14.5" x14ac:dyDescent="0.35">
      <c r="F86" t="s">
        <v>173</v>
      </c>
    </row>
    <row r="87" spans="6:6" ht="14.5" x14ac:dyDescent="0.35">
      <c r="F87" t="s">
        <v>174</v>
      </c>
    </row>
    <row r="88" spans="6:6" ht="14.5" x14ac:dyDescent="0.35">
      <c r="F88" t="s">
        <v>175</v>
      </c>
    </row>
    <row r="89" spans="6:6" ht="14.5" x14ac:dyDescent="0.35">
      <c r="F89" t="s">
        <v>176</v>
      </c>
    </row>
    <row r="90" spans="6:6" ht="14.5" x14ac:dyDescent="0.35">
      <c r="F90" t="s">
        <v>177</v>
      </c>
    </row>
    <row r="91" spans="6:6" ht="14.5" x14ac:dyDescent="0.35">
      <c r="F91" t="s">
        <v>178</v>
      </c>
    </row>
    <row r="92" spans="6:6" ht="14.5" x14ac:dyDescent="0.35">
      <c r="F92" t="s">
        <v>179</v>
      </c>
    </row>
    <row r="93" spans="6:6" ht="14.5" x14ac:dyDescent="0.35">
      <c r="F93" t="s">
        <v>180</v>
      </c>
    </row>
    <row r="94" spans="6:6" ht="14.5" x14ac:dyDescent="0.35">
      <c r="F94" t="s">
        <v>181</v>
      </c>
    </row>
    <row r="95" spans="6:6" ht="14.5" x14ac:dyDescent="0.35">
      <c r="F95" t="s">
        <v>182</v>
      </c>
    </row>
    <row r="96" spans="6:6" ht="14.5" x14ac:dyDescent="0.35">
      <c r="F96" t="s">
        <v>183</v>
      </c>
    </row>
    <row r="97" spans="6:6" ht="14.5" x14ac:dyDescent="0.35">
      <c r="F97" t="s">
        <v>184</v>
      </c>
    </row>
    <row r="98" spans="6:6" ht="14.5" x14ac:dyDescent="0.35">
      <c r="F98" t="s">
        <v>185</v>
      </c>
    </row>
    <row r="99" spans="6:6" ht="14.5" x14ac:dyDescent="0.35">
      <c r="F99" t="s">
        <v>186</v>
      </c>
    </row>
    <row r="100" spans="6:6" ht="14.5" x14ac:dyDescent="0.35">
      <c r="F100" t="s">
        <v>187</v>
      </c>
    </row>
    <row r="101" spans="6:6" ht="14.5" x14ac:dyDescent="0.35">
      <c r="F101" t="s">
        <v>188</v>
      </c>
    </row>
    <row r="102" spans="6:6" ht="14.5" x14ac:dyDescent="0.35">
      <c r="F102" t="s">
        <v>189</v>
      </c>
    </row>
    <row r="103" spans="6:6" ht="14.5" x14ac:dyDescent="0.35">
      <c r="F103" t="s">
        <v>190</v>
      </c>
    </row>
    <row r="104" spans="6:6" ht="14.5" x14ac:dyDescent="0.35">
      <c r="F104" t="s">
        <v>191</v>
      </c>
    </row>
    <row r="105" spans="6:6" ht="14.5" x14ac:dyDescent="0.35">
      <c r="F105" t="s">
        <v>192</v>
      </c>
    </row>
    <row r="106" spans="6:6" ht="14.5" x14ac:dyDescent="0.35">
      <c r="F106" t="s">
        <v>193</v>
      </c>
    </row>
    <row r="107" spans="6:6" ht="14.5" x14ac:dyDescent="0.35">
      <c r="F107" t="s">
        <v>194</v>
      </c>
    </row>
    <row r="108" spans="6:6" ht="14.5" x14ac:dyDescent="0.35">
      <c r="F108" t="s">
        <v>195</v>
      </c>
    </row>
    <row r="109" spans="6:6" ht="14.5" x14ac:dyDescent="0.35">
      <c r="F109" t="s">
        <v>196</v>
      </c>
    </row>
    <row r="110" spans="6:6" ht="14.5" x14ac:dyDescent="0.35">
      <c r="F110" t="s">
        <v>197</v>
      </c>
    </row>
    <row r="111" spans="6:6" ht="14.5" x14ac:dyDescent="0.35">
      <c r="F111" t="s">
        <v>198</v>
      </c>
    </row>
    <row r="112" spans="6:6" ht="14.5" x14ac:dyDescent="0.35">
      <c r="F112" t="s">
        <v>199</v>
      </c>
    </row>
    <row r="113" spans="6:6" ht="14.5" x14ac:dyDescent="0.35">
      <c r="F113" t="s">
        <v>200</v>
      </c>
    </row>
    <row r="114" spans="6:6" ht="14.5" x14ac:dyDescent="0.35">
      <c r="F114" t="s">
        <v>201</v>
      </c>
    </row>
    <row r="115" spans="6:6" ht="14.5" x14ac:dyDescent="0.35">
      <c r="F115" t="s">
        <v>202</v>
      </c>
    </row>
    <row r="116" spans="6:6" ht="14.5" x14ac:dyDescent="0.35">
      <c r="F116" t="s">
        <v>203</v>
      </c>
    </row>
    <row r="117" spans="6:6" ht="14.5" x14ac:dyDescent="0.35">
      <c r="F117" t="s">
        <v>204</v>
      </c>
    </row>
    <row r="118" spans="6:6" ht="14.5" x14ac:dyDescent="0.35">
      <c r="F118" t="s">
        <v>205</v>
      </c>
    </row>
    <row r="119" spans="6:6" ht="14.5" x14ac:dyDescent="0.35">
      <c r="F119" t="s">
        <v>206</v>
      </c>
    </row>
    <row r="120" spans="6:6" ht="14.5" x14ac:dyDescent="0.35">
      <c r="F120" t="s">
        <v>207</v>
      </c>
    </row>
    <row r="121" spans="6:6" ht="14.5" x14ac:dyDescent="0.35">
      <c r="F121" t="s">
        <v>208</v>
      </c>
    </row>
    <row r="122" spans="6:6" ht="14.5" x14ac:dyDescent="0.35">
      <c r="F122" t="s">
        <v>209</v>
      </c>
    </row>
    <row r="123" spans="6:6" ht="14.5" x14ac:dyDescent="0.35">
      <c r="F123" t="s">
        <v>210</v>
      </c>
    </row>
    <row r="124" spans="6:6" ht="14.5" x14ac:dyDescent="0.35">
      <c r="F124" t="s">
        <v>211</v>
      </c>
    </row>
    <row r="125" spans="6:6" ht="14.5" x14ac:dyDescent="0.35">
      <c r="F125" t="s">
        <v>212</v>
      </c>
    </row>
    <row r="126" spans="6:6" ht="14.5" x14ac:dyDescent="0.35">
      <c r="F126" t="s">
        <v>213</v>
      </c>
    </row>
    <row r="127" spans="6:6" ht="14.5" x14ac:dyDescent="0.35">
      <c r="F127" t="s">
        <v>214</v>
      </c>
    </row>
    <row r="128" spans="6:6" ht="14.5" x14ac:dyDescent="0.35">
      <c r="F128" t="s">
        <v>215</v>
      </c>
    </row>
    <row r="129" spans="6:6" ht="14.5" x14ac:dyDescent="0.35">
      <c r="F129" t="s">
        <v>216</v>
      </c>
    </row>
    <row r="130" spans="6:6" ht="14.5" x14ac:dyDescent="0.35">
      <c r="F130" t="s">
        <v>217</v>
      </c>
    </row>
    <row r="131" spans="6:6" ht="14.5" x14ac:dyDescent="0.35">
      <c r="F131" t="s">
        <v>218</v>
      </c>
    </row>
    <row r="132" spans="6:6" ht="14.5" x14ac:dyDescent="0.35">
      <c r="F132" t="s">
        <v>219</v>
      </c>
    </row>
    <row r="133" spans="6:6" ht="14.5" x14ac:dyDescent="0.35">
      <c r="F133" t="s">
        <v>220</v>
      </c>
    </row>
    <row r="134" spans="6:6" ht="14.5" x14ac:dyDescent="0.35">
      <c r="F134" t="s">
        <v>221</v>
      </c>
    </row>
    <row r="135" spans="6:6" ht="14.5" x14ac:dyDescent="0.35">
      <c r="F135" t="s">
        <v>222</v>
      </c>
    </row>
    <row r="136" spans="6:6" ht="14.5" x14ac:dyDescent="0.35">
      <c r="F136" t="s">
        <v>223</v>
      </c>
    </row>
    <row r="137" spans="6:6" ht="14.5" x14ac:dyDescent="0.35">
      <c r="F137" t="s">
        <v>224</v>
      </c>
    </row>
    <row r="138" spans="6:6" ht="14.5" x14ac:dyDescent="0.35">
      <c r="F138" t="s">
        <v>225</v>
      </c>
    </row>
    <row r="139" spans="6:6" ht="14.5" x14ac:dyDescent="0.35">
      <c r="F139" t="s">
        <v>226</v>
      </c>
    </row>
    <row r="140" spans="6:6" ht="14.5" x14ac:dyDescent="0.35">
      <c r="F140" t="s">
        <v>227</v>
      </c>
    </row>
    <row r="141" spans="6:6" ht="14.5" x14ac:dyDescent="0.35">
      <c r="F141" t="s">
        <v>228</v>
      </c>
    </row>
    <row r="142" spans="6:6" ht="14.5" x14ac:dyDescent="0.35">
      <c r="F142" t="s">
        <v>229</v>
      </c>
    </row>
    <row r="143" spans="6:6" ht="14.5" x14ac:dyDescent="0.35">
      <c r="F143" t="s">
        <v>230</v>
      </c>
    </row>
    <row r="144" spans="6:6" ht="14.5" x14ac:dyDescent="0.35">
      <c r="F144" t="s">
        <v>231</v>
      </c>
    </row>
    <row r="145" spans="6:6" ht="14.5" x14ac:dyDescent="0.35">
      <c r="F145" t="s">
        <v>232</v>
      </c>
    </row>
    <row r="146" spans="6:6" ht="14.5" x14ac:dyDescent="0.35">
      <c r="F146" t="s">
        <v>233</v>
      </c>
    </row>
    <row r="147" spans="6:6" ht="14.5" x14ac:dyDescent="0.35">
      <c r="F147" t="s">
        <v>234</v>
      </c>
    </row>
    <row r="148" spans="6:6" ht="14.5" x14ac:dyDescent="0.35">
      <c r="F148" t="s">
        <v>235</v>
      </c>
    </row>
    <row r="149" spans="6:6" ht="14.5" x14ac:dyDescent="0.35">
      <c r="F149" t="s">
        <v>236</v>
      </c>
    </row>
    <row r="150" spans="6:6" ht="14.5" x14ac:dyDescent="0.35">
      <c r="F150" t="s">
        <v>237</v>
      </c>
    </row>
    <row r="151" spans="6:6" ht="14.5" x14ac:dyDescent="0.35">
      <c r="F151" t="s">
        <v>238</v>
      </c>
    </row>
    <row r="152" spans="6:6" ht="14.5" x14ac:dyDescent="0.35">
      <c r="F152" t="s">
        <v>239</v>
      </c>
    </row>
    <row r="153" spans="6:6" ht="14.5" x14ac:dyDescent="0.35">
      <c r="F153" t="s">
        <v>240</v>
      </c>
    </row>
    <row r="154" spans="6:6" ht="14.5" x14ac:dyDescent="0.35">
      <c r="F154" t="s">
        <v>241</v>
      </c>
    </row>
    <row r="155" spans="6:6" ht="14.5" x14ac:dyDescent="0.35">
      <c r="F155" t="s">
        <v>242</v>
      </c>
    </row>
    <row r="156" spans="6:6" ht="14.5" x14ac:dyDescent="0.35">
      <c r="F156" t="s">
        <v>243</v>
      </c>
    </row>
    <row r="157" spans="6:6" ht="14.5" x14ac:dyDescent="0.35">
      <c r="F157" t="s">
        <v>244</v>
      </c>
    </row>
    <row r="158" spans="6:6" ht="14.5" x14ac:dyDescent="0.35">
      <c r="F158" t="s">
        <v>245</v>
      </c>
    </row>
    <row r="159" spans="6:6" ht="14.5" x14ac:dyDescent="0.35">
      <c r="F159" t="s">
        <v>246</v>
      </c>
    </row>
    <row r="160" spans="6:6" ht="14.5" x14ac:dyDescent="0.35">
      <c r="F160" t="s">
        <v>247</v>
      </c>
    </row>
    <row r="161" spans="6:6" ht="14.5" x14ac:dyDescent="0.35">
      <c r="F161" t="s">
        <v>248</v>
      </c>
    </row>
    <row r="162" spans="6:6" ht="14.5" x14ac:dyDescent="0.35">
      <c r="F162" t="s">
        <v>249</v>
      </c>
    </row>
    <row r="163" spans="6:6" ht="14.5" x14ac:dyDescent="0.35">
      <c r="F163" t="s">
        <v>250</v>
      </c>
    </row>
    <row r="164" spans="6:6" ht="14.5" x14ac:dyDescent="0.35">
      <c r="F164" t="s">
        <v>251</v>
      </c>
    </row>
    <row r="165" spans="6:6" ht="14.5" x14ac:dyDescent="0.35">
      <c r="F165" t="s">
        <v>252</v>
      </c>
    </row>
    <row r="166" spans="6:6" ht="14.5" x14ac:dyDescent="0.35">
      <c r="F166" t="s">
        <v>253</v>
      </c>
    </row>
    <row r="167" spans="6:6" ht="14.5" x14ac:dyDescent="0.35">
      <c r="F167" t="s">
        <v>254</v>
      </c>
    </row>
    <row r="168" spans="6:6" ht="14.5" x14ac:dyDescent="0.35">
      <c r="F168" t="s">
        <v>255</v>
      </c>
    </row>
    <row r="169" spans="6:6" ht="14.5" x14ac:dyDescent="0.35">
      <c r="F169" t="s">
        <v>256</v>
      </c>
    </row>
    <row r="170" spans="6:6" ht="14.5" x14ac:dyDescent="0.35">
      <c r="F170" t="s">
        <v>257</v>
      </c>
    </row>
    <row r="171" spans="6:6" ht="14.5" x14ac:dyDescent="0.35">
      <c r="F171" t="s">
        <v>258</v>
      </c>
    </row>
    <row r="172" spans="6:6" ht="14.5" x14ac:dyDescent="0.35">
      <c r="F172" t="s">
        <v>259</v>
      </c>
    </row>
    <row r="173" spans="6:6" ht="14.5" x14ac:dyDescent="0.35">
      <c r="F173" t="s">
        <v>260</v>
      </c>
    </row>
    <row r="174" spans="6:6" ht="14.5" x14ac:dyDescent="0.35">
      <c r="F174" t="s">
        <v>261</v>
      </c>
    </row>
    <row r="175" spans="6:6" ht="14.5" x14ac:dyDescent="0.35">
      <c r="F175" t="s">
        <v>262</v>
      </c>
    </row>
    <row r="176" spans="6:6" ht="14.5" x14ac:dyDescent="0.35">
      <c r="F176" t="s">
        <v>263</v>
      </c>
    </row>
    <row r="177" spans="6:6" ht="14.5" x14ac:dyDescent="0.35">
      <c r="F177" t="s">
        <v>264</v>
      </c>
    </row>
    <row r="178" spans="6:6" ht="14.5" x14ac:dyDescent="0.35">
      <c r="F178" t="s">
        <v>265</v>
      </c>
    </row>
    <row r="179" spans="6:6" ht="14.5" x14ac:dyDescent="0.35">
      <c r="F179" t="s">
        <v>266</v>
      </c>
    </row>
    <row r="180" spans="6:6" ht="14.5" x14ac:dyDescent="0.35">
      <c r="F180" t="s">
        <v>267</v>
      </c>
    </row>
    <row r="181" spans="6:6" ht="14.5" x14ac:dyDescent="0.35">
      <c r="F181" t="s">
        <v>268</v>
      </c>
    </row>
    <row r="182" spans="6:6" ht="14.5" x14ac:dyDescent="0.35">
      <c r="F182" t="s">
        <v>269</v>
      </c>
    </row>
    <row r="183" spans="6:6" ht="14.5" x14ac:dyDescent="0.35">
      <c r="F183" t="s">
        <v>270</v>
      </c>
    </row>
    <row r="184" spans="6:6" ht="14.5" x14ac:dyDescent="0.35">
      <c r="F184" t="s">
        <v>271</v>
      </c>
    </row>
    <row r="185" spans="6:6" ht="14.5" x14ac:dyDescent="0.35">
      <c r="F185" t="s">
        <v>751</v>
      </c>
    </row>
    <row r="186" spans="6:6" ht="14.5" x14ac:dyDescent="0.35">
      <c r="F186" t="s">
        <v>272</v>
      </c>
    </row>
    <row r="187" spans="6:6" ht="14.5" x14ac:dyDescent="0.35">
      <c r="F187" t="s">
        <v>273</v>
      </c>
    </row>
    <row r="188" spans="6:6" ht="14.5" x14ac:dyDescent="0.35">
      <c r="F188" t="s">
        <v>274</v>
      </c>
    </row>
    <row r="189" spans="6:6" ht="14.5" x14ac:dyDescent="0.35">
      <c r="F189" t="s">
        <v>275</v>
      </c>
    </row>
    <row r="190" spans="6:6" ht="14.5" x14ac:dyDescent="0.35">
      <c r="F190" t="s">
        <v>276</v>
      </c>
    </row>
    <row r="191" spans="6:6" ht="14.5" x14ac:dyDescent="0.35">
      <c r="F191" t="s">
        <v>277</v>
      </c>
    </row>
    <row r="192" spans="6:6" ht="14.5" x14ac:dyDescent="0.35">
      <c r="F192" t="s">
        <v>278</v>
      </c>
    </row>
    <row r="193" spans="6:6" ht="14.5" x14ac:dyDescent="0.35">
      <c r="F193" t="s">
        <v>279</v>
      </c>
    </row>
    <row r="194" spans="6:6" ht="14.5" x14ac:dyDescent="0.35">
      <c r="F194" t="s">
        <v>280</v>
      </c>
    </row>
    <row r="195" spans="6:6" ht="14.5" x14ac:dyDescent="0.35">
      <c r="F195" t="s">
        <v>281</v>
      </c>
    </row>
    <row r="196" spans="6:6" ht="14.5" x14ac:dyDescent="0.35">
      <c r="F196" t="s">
        <v>282</v>
      </c>
    </row>
    <row r="197" spans="6:6" ht="14.5" x14ac:dyDescent="0.35">
      <c r="F197" t="s">
        <v>283</v>
      </c>
    </row>
    <row r="198" spans="6:6" ht="14.5" x14ac:dyDescent="0.35">
      <c r="F198" t="s">
        <v>856</v>
      </c>
    </row>
    <row r="199" spans="6:6" ht="14.5" x14ac:dyDescent="0.35">
      <c r="F199" t="s">
        <v>284</v>
      </c>
    </row>
    <row r="200" spans="6:6" ht="14.5" x14ac:dyDescent="0.35">
      <c r="F200" t="s">
        <v>285</v>
      </c>
    </row>
    <row r="201" spans="6:6" ht="14.5" x14ac:dyDescent="0.35">
      <c r="F201" t="s">
        <v>752</v>
      </c>
    </row>
    <row r="202" spans="6:6" ht="14.5" x14ac:dyDescent="0.35">
      <c r="F202" t="s">
        <v>286</v>
      </c>
    </row>
    <row r="203" spans="6:6" ht="14.5" x14ac:dyDescent="0.35">
      <c r="F203" t="s">
        <v>287</v>
      </c>
    </row>
    <row r="204" spans="6:6" ht="14.5" x14ac:dyDescent="0.35">
      <c r="F204" t="s">
        <v>288</v>
      </c>
    </row>
    <row r="205" spans="6:6" ht="14.5" x14ac:dyDescent="0.35">
      <c r="F205" t="s">
        <v>289</v>
      </c>
    </row>
    <row r="206" spans="6:6" ht="14.5" x14ac:dyDescent="0.35">
      <c r="F206" t="s">
        <v>290</v>
      </c>
    </row>
    <row r="207" spans="6:6" ht="14.5" x14ac:dyDescent="0.35">
      <c r="F207" t="s">
        <v>291</v>
      </c>
    </row>
    <row r="208" spans="6:6" ht="14.5" x14ac:dyDescent="0.35">
      <c r="F208" t="s">
        <v>292</v>
      </c>
    </row>
    <row r="209" spans="6:6" ht="14.5" x14ac:dyDescent="0.35">
      <c r="F209" t="s">
        <v>293</v>
      </c>
    </row>
    <row r="210" spans="6:6" ht="14.5" x14ac:dyDescent="0.35">
      <c r="F210" t="s">
        <v>294</v>
      </c>
    </row>
    <row r="211" spans="6:6" ht="14.5" x14ac:dyDescent="0.35">
      <c r="F211" t="s">
        <v>295</v>
      </c>
    </row>
    <row r="212" spans="6:6" ht="14.5" x14ac:dyDescent="0.35">
      <c r="F212" t="s">
        <v>296</v>
      </c>
    </row>
    <row r="213" spans="6:6" ht="14.5" x14ac:dyDescent="0.35">
      <c r="F213" t="s">
        <v>297</v>
      </c>
    </row>
    <row r="214" spans="6:6" ht="14.5" x14ac:dyDescent="0.35">
      <c r="F214" t="s">
        <v>298</v>
      </c>
    </row>
    <row r="215" spans="6:6" ht="14.5" x14ac:dyDescent="0.35">
      <c r="F215" t="s">
        <v>299</v>
      </c>
    </row>
    <row r="216" spans="6:6" ht="14.5" x14ac:dyDescent="0.35">
      <c r="F216" t="s">
        <v>300</v>
      </c>
    </row>
    <row r="217" spans="6:6" ht="14.5" x14ac:dyDescent="0.35">
      <c r="F217" t="s">
        <v>301</v>
      </c>
    </row>
    <row r="218" spans="6:6" ht="14.5" x14ac:dyDescent="0.35">
      <c r="F218" t="s">
        <v>302</v>
      </c>
    </row>
    <row r="219" spans="6:6" ht="14.5" x14ac:dyDescent="0.35">
      <c r="F219" t="s">
        <v>303</v>
      </c>
    </row>
    <row r="220" spans="6:6" ht="14.5" x14ac:dyDescent="0.35">
      <c r="F220" t="s">
        <v>304</v>
      </c>
    </row>
    <row r="221" spans="6:6" ht="14.5" x14ac:dyDescent="0.35">
      <c r="F221" t="s">
        <v>305</v>
      </c>
    </row>
    <row r="222" spans="6:6" ht="14.5" x14ac:dyDescent="0.35">
      <c r="F222" t="s">
        <v>306</v>
      </c>
    </row>
    <row r="223" spans="6:6" ht="14.5" x14ac:dyDescent="0.35">
      <c r="F223" t="s">
        <v>307</v>
      </c>
    </row>
    <row r="224" spans="6:6" ht="14.5" x14ac:dyDescent="0.35">
      <c r="F224" t="s">
        <v>308</v>
      </c>
    </row>
    <row r="225" spans="6:6" ht="14.5" x14ac:dyDescent="0.35">
      <c r="F225" t="s">
        <v>309</v>
      </c>
    </row>
    <row r="226" spans="6:6" ht="14.5" x14ac:dyDescent="0.35">
      <c r="F226" t="s">
        <v>310</v>
      </c>
    </row>
    <row r="227" spans="6:6" ht="14.5" x14ac:dyDescent="0.35">
      <c r="F227" t="s">
        <v>311</v>
      </c>
    </row>
    <row r="228" spans="6:6" ht="14.5" x14ac:dyDescent="0.35">
      <c r="F228" t="s">
        <v>312</v>
      </c>
    </row>
    <row r="229" spans="6:6" ht="14.5" x14ac:dyDescent="0.35">
      <c r="F229" t="s">
        <v>313</v>
      </c>
    </row>
    <row r="230" spans="6:6" ht="14.5" x14ac:dyDescent="0.35">
      <c r="F230" t="s">
        <v>314</v>
      </c>
    </row>
    <row r="231" spans="6:6" ht="14.5" x14ac:dyDescent="0.35">
      <c r="F231" t="s">
        <v>315</v>
      </c>
    </row>
    <row r="232" spans="6:6" ht="14.5" x14ac:dyDescent="0.35">
      <c r="F232" t="s">
        <v>316</v>
      </c>
    </row>
    <row r="233" spans="6:6" ht="14.5" x14ac:dyDescent="0.35">
      <c r="F233" t="s">
        <v>317</v>
      </c>
    </row>
    <row r="234" spans="6:6" ht="14.5" x14ac:dyDescent="0.35">
      <c r="F234" t="s">
        <v>318</v>
      </c>
    </row>
    <row r="235" spans="6:6" ht="14.5" x14ac:dyDescent="0.35">
      <c r="F235" t="s">
        <v>319</v>
      </c>
    </row>
    <row r="236" spans="6:6" ht="14.5" x14ac:dyDescent="0.35">
      <c r="F236" t="s">
        <v>320</v>
      </c>
    </row>
    <row r="237" spans="6:6" ht="14.5" x14ac:dyDescent="0.35">
      <c r="F237" t="s">
        <v>321</v>
      </c>
    </row>
    <row r="238" spans="6:6" ht="14.5" x14ac:dyDescent="0.35">
      <c r="F238" t="s">
        <v>322</v>
      </c>
    </row>
    <row r="239" spans="6:6" ht="14.5" x14ac:dyDescent="0.35">
      <c r="F239" t="s">
        <v>323</v>
      </c>
    </row>
    <row r="240" spans="6:6" ht="14.5" x14ac:dyDescent="0.35">
      <c r="F240" t="s">
        <v>324</v>
      </c>
    </row>
    <row r="241" spans="6:6" ht="14.5" x14ac:dyDescent="0.35">
      <c r="F241" t="s">
        <v>325</v>
      </c>
    </row>
    <row r="242" spans="6:6" ht="14.5" x14ac:dyDescent="0.35">
      <c r="F242" t="s">
        <v>326</v>
      </c>
    </row>
    <row r="243" spans="6:6" ht="14.5" x14ac:dyDescent="0.35">
      <c r="F243" t="s">
        <v>327</v>
      </c>
    </row>
    <row r="244" spans="6:6" ht="14.5" x14ac:dyDescent="0.35">
      <c r="F244" t="s">
        <v>328</v>
      </c>
    </row>
    <row r="245" spans="6:6" ht="14.5" x14ac:dyDescent="0.35">
      <c r="F245" t="s">
        <v>329</v>
      </c>
    </row>
    <row r="246" spans="6:6" ht="14.5" x14ac:dyDescent="0.35">
      <c r="F246" t="s">
        <v>330</v>
      </c>
    </row>
    <row r="247" spans="6:6" ht="14.5" x14ac:dyDescent="0.35">
      <c r="F247" t="s">
        <v>331</v>
      </c>
    </row>
    <row r="248" spans="6:6" ht="14.5" x14ac:dyDescent="0.35">
      <c r="F248" t="s">
        <v>332</v>
      </c>
    </row>
    <row r="249" spans="6:6" ht="14.5" x14ac:dyDescent="0.35">
      <c r="F249" t="s">
        <v>333</v>
      </c>
    </row>
    <row r="250" spans="6:6" ht="14.5" x14ac:dyDescent="0.35">
      <c r="F250" t="s">
        <v>334</v>
      </c>
    </row>
    <row r="251" spans="6:6" ht="14.5" x14ac:dyDescent="0.35">
      <c r="F251" t="s">
        <v>335</v>
      </c>
    </row>
    <row r="252" spans="6:6" ht="14.5" x14ac:dyDescent="0.35">
      <c r="F252" t="s">
        <v>336</v>
      </c>
    </row>
    <row r="253" spans="6:6" ht="14.5" x14ac:dyDescent="0.35">
      <c r="F253" t="s">
        <v>337</v>
      </c>
    </row>
    <row r="254" spans="6:6" ht="14.5" x14ac:dyDescent="0.35">
      <c r="F254" t="s">
        <v>338</v>
      </c>
    </row>
    <row r="255" spans="6:6" ht="14.5" x14ac:dyDescent="0.35">
      <c r="F255" t="s">
        <v>339</v>
      </c>
    </row>
    <row r="256" spans="6:6" ht="14.5" x14ac:dyDescent="0.35">
      <c r="F256" t="s">
        <v>340</v>
      </c>
    </row>
    <row r="257" spans="6:6" ht="14.5" x14ac:dyDescent="0.35">
      <c r="F257" t="s">
        <v>341</v>
      </c>
    </row>
    <row r="258" spans="6:6" ht="14.5" x14ac:dyDescent="0.35">
      <c r="F258" t="s">
        <v>342</v>
      </c>
    </row>
    <row r="259" spans="6:6" ht="14.5" x14ac:dyDescent="0.35">
      <c r="F259"/>
    </row>
    <row r="260" spans="6:6" ht="14.5" x14ac:dyDescent="0.35">
      <c r="F260"/>
    </row>
    <row r="261" spans="6:6" ht="14.5" x14ac:dyDescent="0.35">
      <c r="F261"/>
    </row>
    <row r="262" spans="6:6" ht="14.5" x14ac:dyDescent="0.35">
      <c r="F262"/>
    </row>
  </sheetData>
  <sheetProtection algorithmName="SHA-512" hashValue="aEvL4BWGXChVIBtTSSEadCFQSafD8Ht7BbSGNvbUBKnLwTMPcXsc7+GKfITubCkQTJoKotb0Usgo+bu/kzWjOw==" saltValue="JAmVhyhORv4FseXuYYe50g==" spinCount="100000" sheet="1" objects="1" scenarios="1"/>
  <sortState xmlns:xlrd2="http://schemas.microsoft.com/office/spreadsheetml/2017/richdata2" ref="F14:F258">
    <sortCondition ref="F14:F25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8D4B5-C0DA-416F-B92F-CA734EFF2E47}">
  <sheetPr codeName="Feuil2">
    <tabColor theme="4" tint="0.79998168889431442"/>
  </sheetPr>
  <dimension ref="A1:V23"/>
  <sheetViews>
    <sheetView showGridLines="0" zoomScale="90" zoomScaleNormal="90" workbookViewId="0">
      <selection activeCell="C7" sqref="C7:S7"/>
    </sheetView>
  </sheetViews>
  <sheetFormatPr baseColWidth="10" defaultColWidth="10.90625" defaultRowHeight="14.5" x14ac:dyDescent="0.35"/>
  <cols>
    <col min="1" max="1" width="1.54296875" style="1" customWidth="1"/>
    <col min="2" max="2" width="2.54296875" style="1" customWidth="1"/>
    <col min="3" max="3" width="32.54296875" style="62" customWidth="1"/>
    <col min="4" max="7" width="11.54296875" style="2" customWidth="1"/>
    <col min="8" max="11" width="11.54296875" style="402" customWidth="1"/>
    <col min="12" max="15" width="11.54296875" style="2" customWidth="1"/>
    <col min="16" max="19" width="11.54296875" style="402" customWidth="1"/>
    <col min="20" max="21" width="2.54296875" style="1" customWidth="1"/>
    <col min="22" max="22" width="28.08984375" bestFit="1" customWidth="1"/>
  </cols>
  <sheetData>
    <row r="1" spans="1:22" s="401" customFormat="1" ht="36" customHeight="1" x14ac:dyDescent="0.35">
      <c r="A1" s="62"/>
      <c r="B1" s="62"/>
      <c r="C1" s="62"/>
      <c r="D1" s="400"/>
      <c r="E1" s="400"/>
      <c r="F1" s="400"/>
      <c r="G1" s="400"/>
      <c r="H1" s="893" t="s">
        <v>571</v>
      </c>
      <c r="I1" s="893"/>
      <c r="J1" s="900"/>
      <c r="K1" s="900"/>
      <c r="L1" s="900"/>
      <c r="M1" s="900"/>
      <c r="N1" s="900"/>
      <c r="O1" s="900"/>
      <c r="P1" s="900"/>
      <c r="Q1" s="900"/>
      <c r="R1" s="900"/>
      <c r="S1" s="900"/>
      <c r="T1" s="900"/>
      <c r="U1" s="303"/>
    </row>
    <row r="2" spans="1:22" s="401" customFormat="1" ht="16" customHeight="1" x14ac:dyDescent="0.35">
      <c r="A2" s="62"/>
      <c r="B2" s="62"/>
      <c r="C2" s="62"/>
      <c r="D2" s="370"/>
      <c r="E2" s="370"/>
      <c r="F2" s="370"/>
      <c r="G2" s="370"/>
      <c r="H2" s="402"/>
      <c r="I2" s="402"/>
      <c r="J2" s="899" t="s">
        <v>87</v>
      </c>
      <c r="K2" s="899"/>
      <c r="L2" s="899"/>
      <c r="M2" s="899"/>
      <c r="N2" s="899"/>
      <c r="O2" s="899"/>
      <c r="P2" s="899"/>
      <c r="Q2" s="899"/>
      <c r="R2" s="899"/>
      <c r="S2" s="899"/>
      <c r="T2" s="899"/>
      <c r="U2" s="62"/>
    </row>
    <row r="3" spans="1:22" s="401" customFormat="1" ht="16" customHeight="1" x14ac:dyDescent="0.35">
      <c r="A3" s="62"/>
      <c r="B3" s="62"/>
      <c r="C3" s="62"/>
      <c r="D3" s="370"/>
      <c r="E3" s="370"/>
      <c r="F3" s="370"/>
      <c r="G3" s="370"/>
      <c r="H3" s="402"/>
      <c r="I3" s="402"/>
      <c r="J3" s="402"/>
      <c r="K3" s="402"/>
      <c r="L3" s="370"/>
      <c r="M3" s="370"/>
      <c r="N3" s="370"/>
      <c r="O3" s="370"/>
      <c r="P3" s="402"/>
      <c r="Q3" s="402"/>
      <c r="R3" s="900" t="s">
        <v>40</v>
      </c>
      <c r="S3" s="900"/>
      <c r="T3" s="900"/>
      <c r="U3" s="62"/>
    </row>
    <row r="4" spans="1:22" s="401" customFormat="1" ht="12" customHeight="1" x14ac:dyDescent="0.35">
      <c r="A4" s="62"/>
      <c r="B4" s="62"/>
      <c r="C4" s="62"/>
      <c r="D4" s="370"/>
      <c r="E4" s="370"/>
      <c r="F4" s="370"/>
      <c r="G4" s="370"/>
      <c r="H4" s="402"/>
      <c r="I4" s="402"/>
      <c r="J4" s="402"/>
      <c r="K4" s="402"/>
      <c r="L4" s="370"/>
      <c r="M4" s="370"/>
      <c r="N4" s="370"/>
      <c r="O4" s="370"/>
      <c r="P4" s="898" t="s">
        <v>858</v>
      </c>
      <c r="Q4" s="898"/>
      <c r="R4" s="898"/>
      <c r="S4" s="898"/>
      <c r="T4" s="898"/>
      <c r="U4" s="324"/>
    </row>
    <row r="5" spans="1:22" ht="10" customHeight="1" thickBot="1" x14ac:dyDescent="0.4"/>
    <row r="6" spans="1:22" ht="10" customHeight="1" x14ac:dyDescent="0.35">
      <c r="B6" s="393"/>
      <c r="C6" s="115"/>
      <c r="D6" s="403"/>
      <c r="E6" s="403"/>
      <c r="F6" s="403"/>
      <c r="G6" s="403"/>
      <c r="H6" s="404"/>
      <c r="I6" s="404"/>
      <c r="J6" s="404"/>
      <c r="K6" s="404"/>
      <c r="L6" s="403"/>
      <c r="M6" s="403"/>
      <c r="N6" s="403"/>
      <c r="O6" s="403"/>
      <c r="P6" s="404"/>
      <c r="Q6" s="404"/>
      <c r="R6" s="404"/>
      <c r="S6" s="404"/>
      <c r="T6" s="394"/>
    </row>
    <row r="7" spans="1:22" ht="26" customHeight="1" x14ac:dyDescent="0.35">
      <c r="B7" s="171"/>
      <c r="C7" s="844" t="s">
        <v>394</v>
      </c>
      <c r="D7" s="844"/>
      <c r="E7" s="844"/>
      <c r="F7" s="844"/>
      <c r="G7" s="844"/>
      <c r="H7" s="844"/>
      <c r="I7" s="844"/>
      <c r="J7" s="844"/>
      <c r="K7" s="844"/>
      <c r="L7" s="844"/>
      <c r="M7" s="844"/>
      <c r="N7" s="844"/>
      <c r="O7" s="844"/>
      <c r="P7" s="844"/>
      <c r="Q7" s="844"/>
      <c r="R7" s="844"/>
      <c r="S7" s="844"/>
      <c r="T7" s="326"/>
    </row>
    <row r="8" spans="1:22" ht="10" customHeight="1" x14ac:dyDescent="0.35">
      <c r="B8" s="171"/>
      <c r="T8" s="326"/>
    </row>
    <row r="9" spans="1:22" ht="28" customHeight="1" x14ac:dyDescent="0.35">
      <c r="B9" s="171"/>
      <c r="C9" s="855" t="s">
        <v>64</v>
      </c>
      <c r="D9" s="855"/>
      <c r="E9" s="855"/>
      <c r="F9" s="855"/>
      <c r="G9" s="855"/>
      <c r="H9" s="855"/>
      <c r="I9" s="855"/>
      <c r="J9" s="855"/>
      <c r="K9" s="855"/>
      <c r="L9" s="855"/>
      <c r="M9" s="855"/>
      <c r="N9" s="855"/>
      <c r="O9" s="855"/>
      <c r="P9" s="855"/>
      <c r="Q9" s="855"/>
      <c r="R9" s="855"/>
      <c r="S9" s="855"/>
      <c r="T9" s="326"/>
    </row>
    <row r="10" spans="1:22" ht="22" customHeight="1" x14ac:dyDescent="0.35">
      <c r="B10" s="171"/>
      <c r="C10" s="1038" t="s">
        <v>625</v>
      </c>
      <c r="D10" s="1038"/>
      <c r="E10" s="1038"/>
      <c r="F10" s="1038"/>
      <c r="G10" s="1038"/>
      <c r="H10" s="1038"/>
      <c r="I10" s="1038"/>
      <c r="J10" s="1038"/>
      <c r="K10" s="1038"/>
      <c r="L10" s="45"/>
      <c r="M10" s="45"/>
      <c r="N10" s="45"/>
      <c r="O10" s="45"/>
      <c r="P10" s="45"/>
      <c r="Q10" s="45"/>
      <c r="R10" s="1039" t="s">
        <v>627</v>
      </c>
      <c r="S10" s="1040"/>
      <c r="T10" s="326"/>
    </row>
    <row r="11" spans="1:22" ht="32" customHeight="1" x14ac:dyDescent="0.35">
      <c r="B11" s="171"/>
      <c r="C11" s="1038" t="s">
        <v>598</v>
      </c>
      <c r="D11" s="1038"/>
      <c r="E11" s="1038"/>
      <c r="F11" s="1038"/>
      <c r="G11" s="1038"/>
      <c r="H11" s="1038"/>
      <c r="I11" s="1038"/>
      <c r="J11" s="1038"/>
      <c r="K11" s="1038"/>
      <c r="L11" s="1038"/>
      <c r="M11" s="1038"/>
      <c r="N11" s="1038"/>
      <c r="O11" s="45"/>
      <c r="P11" s="45"/>
      <c r="Q11" s="45"/>
      <c r="R11" s="1041"/>
      <c r="S11" s="1042"/>
      <c r="T11" s="326"/>
    </row>
    <row r="12" spans="1:22" ht="22" customHeight="1" x14ac:dyDescent="0.35">
      <c r="B12" s="171"/>
      <c r="C12" s="1038" t="s">
        <v>626</v>
      </c>
      <c r="D12" s="1038"/>
      <c r="E12" s="1038"/>
      <c r="F12" s="1038"/>
      <c r="G12" s="1038"/>
      <c r="H12" s="1038"/>
      <c r="I12" s="1038"/>
      <c r="J12" s="1038"/>
      <c r="K12" s="1038"/>
      <c r="L12" s="45"/>
      <c r="M12" s="45"/>
      <c r="N12" s="45"/>
      <c r="O12" s="45"/>
      <c r="P12" s="45"/>
      <c r="Q12" s="45"/>
      <c r="R12" s="45"/>
      <c r="S12" s="45"/>
      <c r="T12" s="326"/>
    </row>
    <row r="13" spans="1:22" ht="10" customHeight="1" thickBot="1" x14ac:dyDescent="0.4">
      <c r="B13" s="171"/>
      <c r="C13" s="405"/>
      <c r="H13" s="406"/>
      <c r="I13" s="406"/>
      <c r="J13" s="406"/>
      <c r="K13" s="406"/>
      <c r="L13" s="406"/>
      <c r="M13" s="406"/>
      <c r="N13" s="406"/>
      <c r="O13" s="406"/>
      <c r="P13" s="406"/>
      <c r="Q13" s="406"/>
      <c r="R13" s="406"/>
      <c r="S13" s="406"/>
      <c r="T13" s="326"/>
    </row>
    <row r="14" spans="1:22" s="62" customFormat="1" ht="22" customHeight="1" x14ac:dyDescent="0.35">
      <c r="B14" s="118"/>
      <c r="C14" s="1023"/>
      <c r="D14" s="1026" t="s">
        <v>58</v>
      </c>
      <c r="E14" s="1027"/>
      <c r="F14" s="1027"/>
      <c r="G14" s="1028"/>
      <c r="H14" s="1032" t="s">
        <v>55</v>
      </c>
      <c r="I14" s="1033"/>
      <c r="J14" s="1033"/>
      <c r="K14" s="1034"/>
      <c r="L14" s="1032" t="s">
        <v>56</v>
      </c>
      <c r="M14" s="1033"/>
      <c r="N14" s="1033"/>
      <c r="O14" s="1034"/>
      <c r="P14" s="1032" t="s">
        <v>57</v>
      </c>
      <c r="Q14" s="1033"/>
      <c r="R14" s="1033"/>
      <c r="S14" s="1034"/>
      <c r="T14" s="119"/>
      <c r="V14" s="46"/>
    </row>
    <row r="15" spans="1:22" ht="22" customHeight="1" x14ac:dyDescent="0.35">
      <c r="A15" s="62"/>
      <c r="B15" s="118"/>
      <c r="C15" s="1024"/>
      <c r="D15" s="1029"/>
      <c r="E15" s="1030"/>
      <c r="F15" s="1030"/>
      <c r="G15" s="1031"/>
      <c r="H15" s="1035"/>
      <c r="I15" s="1036"/>
      <c r="J15" s="1036"/>
      <c r="K15" s="1037"/>
      <c r="L15" s="1035"/>
      <c r="M15" s="1036"/>
      <c r="N15" s="1036"/>
      <c r="O15" s="1037"/>
      <c r="P15" s="1035"/>
      <c r="Q15" s="1036"/>
      <c r="R15" s="1036"/>
      <c r="S15" s="1037"/>
      <c r="T15" s="119"/>
      <c r="U15" s="62"/>
    </row>
    <row r="16" spans="1:22" s="405" customFormat="1" ht="51.65" customHeight="1" x14ac:dyDescent="0.35">
      <c r="B16" s="407"/>
      <c r="C16" s="1025"/>
      <c r="D16" s="408" t="s">
        <v>41</v>
      </c>
      <c r="E16" s="409" t="s">
        <v>78</v>
      </c>
      <c r="F16" s="410" t="s">
        <v>1</v>
      </c>
      <c r="G16" s="411" t="s">
        <v>67</v>
      </c>
      <c r="H16" s="408" t="s">
        <v>41</v>
      </c>
      <c r="I16" s="409" t="s">
        <v>78</v>
      </c>
      <c r="J16" s="410" t="s">
        <v>1</v>
      </c>
      <c r="K16" s="411" t="s">
        <v>67</v>
      </c>
      <c r="L16" s="408" t="s">
        <v>41</v>
      </c>
      <c r="M16" s="409" t="s">
        <v>78</v>
      </c>
      <c r="N16" s="410" t="s">
        <v>1</v>
      </c>
      <c r="O16" s="411" t="s">
        <v>67</v>
      </c>
      <c r="P16" s="408" t="s">
        <v>41</v>
      </c>
      <c r="Q16" s="409" t="s">
        <v>78</v>
      </c>
      <c r="R16" s="410" t="s">
        <v>1</v>
      </c>
      <c r="S16" s="411" t="s">
        <v>67</v>
      </c>
      <c r="T16" s="412"/>
      <c r="V16"/>
    </row>
    <row r="17" spans="2:20" s="1" customFormat="1" ht="44.15" customHeight="1" x14ac:dyDescent="0.3">
      <c r="B17" s="171"/>
      <c r="C17" s="413" t="s">
        <v>583</v>
      </c>
      <c r="D17" s="39"/>
      <c r="E17" s="15"/>
      <c r="F17" s="16"/>
      <c r="G17" s="748" t="str">
        <f>IF(F17="","",IF(AND(D17="",F17&lt;&gt;""),"Entrer nombre Actuel",(F17-D17)/D17))</f>
        <v/>
      </c>
      <c r="H17" s="39"/>
      <c r="I17" s="15"/>
      <c r="J17" s="16"/>
      <c r="K17" s="748" t="str">
        <f t="shared" ref="K17:K19" si="0">IF(J17="","",IF(AND(H17="",J17&lt;&gt;""),"Entrer nombre Actuel",(J17-H17)/H17))</f>
        <v/>
      </c>
      <c r="L17" s="39"/>
      <c r="M17" s="15"/>
      <c r="N17" s="16"/>
      <c r="O17" s="748" t="str">
        <f t="shared" ref="O17:O19" si="1">IF(N17="","",IF(AND(L17="",N17&lt;&gt;""),"Entrer nombre Actuel",(N17-L17)/L17))</f>
        <v/>
      </c>
      <c r="P17" s="39"/>
      <c r="Q17" s="15"/>
      <c r="R17" s="16"/>
      <c r="S17" s="748" t="str">
        <f t="shared" ref="S17:S19" si="2">IF(R17="","",IF(AND(P17="",R17&lt;&gt;""),"Entrer nombre Actuel",(R17-P17)/P17))</f>
        <v/>
      </c>
      <c r="T17" s="326"/>
    </row>
    <row r="18" spans="2:20" s="1" customFormat="1" ht="46" customHeight="1" x14ac:dyDescent="0.3">
      <c r="B18" s="171"/>
      <c r="C18" s="413" t="s">
        <v>582</v>
      </c>
      <c r="D18" s="39"/>
      <c r="E18" s="15"/>
      <c r="F18" s="16"/>
      <c r="G18" s="748" t="str">
        <f>IF(F18="","",IF(AND(D18="",F18&lt;&gt;""),"Entrer nombre Actuel",(F18-D18)/D18))</f>
        <v/>
      </c>
      <c r="H18" s="39"/>
      <c r="I18" s="15"/>
      <c r="J18" s="16"/>
      <c r="K18" s="748" t="str">
        <f t="shared" si="0"/>
        <v/>
      </c>
      <c r="L18" s="39"/>
      <c r="M18" s="15"/>
      <c r="N18" s="16"/>
      <c r="O18" s="748" t="str">
        <f t="shared" si="1"/>
        <v/>
      </c>
      <c r="P18" s="39"/>
      <c r="Q18" s="15"/>
      <c r="R18" s="16"/>
      <c r="S18" s="748" t="str">
        <f t="shared" si="2"/>
        <v/>
      </c>
      <c r="T18" s="326"/>
    </row>
    <row r="19" spans="2:20" s="1" customFormat="1" ht="44.15" customHeight="1" x14ac:dyDescent="0.3">
      <c r="B19" s="171"/>
      <c r="C19" s="413" t="s">
        <v>827</v>
      </c>
      <c r="D19" s="39"/>
      <c r="E19" s="15"/>
      <c r="F19" s="16"/>
      <c r="G19" s="748" t="str">
        <f>IF(F19="","",IF(AND(D19="",F19&lt;&gt;""),"Entrer nombre Actuel",(F19-D19)/D19))</f>
        <v/>
      </c>
      <c r="H19" s="39"/>
      <c r="I19" s="15"/>
      <c r="J19" s="16"/>
      <c r="K19" s="748" t="str">
        <f t="shared" si="0"/>
        <v/>
      </c>
      <c r="L19" s="39"/>
      <c r="M19" s="15"/>
      <c r="N19" s="16"/>
      <c r="O19" s="748" t="str">
        <f t="shared" si="1"/>
        <v/>
      </c>
      <c r="P19" s="39"/>
      <c r="Q19" s="15"/>
      <c r="R19" s="16"/>
      <c r="S19" s="748" t="str">
        <f t="shared" si="2"/>
        <v/>
      </c>
      <c r="T19" s="326"/>
    </row>
    <row r="20" spans="2:20" s="1" customFormat="1" ht="46" customHeight="1" x14ac:dyDescent="0.3">
      <c r="B20" s="171"/>
      <c r="C20" s="413" t="s">
        <v>49</v>
      </c>
      <c r="D20" s="40"/>
      <c r="E20" s="17"/>
      <c r="F20" s="37"/>
      <c r="G20" s="749"/>
      <c r="H20" s="40"/>
      <c r="I20" s="17"/>
      <c r="J20" s="37"/>
      <c r="K20" s="749"/>
      <c r="L20" s="40"/>
      <c r="M20" s="17"/>
      <c r="N20" s="37"/>
      <c r="O20" s="749"/>
      <c r="P20" s="40"/>
      <c r="Q20" s="17"/>
      <c r="R20" s="37"/>
      <c r="S20" s="749"/>
      <c r="T20" s="326"/>
    </row>
    <row r="21" spans="2:20" s="1" customFormat="1" ht="44.15" customHeight="1" x14ac:dyDescent="0.3">
      <c r="B21" s="171"/>
      <c r="C21" s="413" t="s">
        <v>68</v>
      </c>
      <c r="D21" s="40"/>
      <c r="E21" s="17"/>
      <c r="F21" s="37"/>
      <c r="G21" s="750"/>
      <c r="H21" s="40"/>
      <c r="I21" s="17"/>
      <c r="J21" s="37"/>
      <c r="K21" s="749"/>
      <c r="L21" s="40"/>
      <c r="M21" s="17"/>
      <c r="N21" s="37"/>
      <c r="O21" s="749"/>
      <c r="P21" s="40"/>
      <c r="Q21" s="17"/>
      <c r="R21" s="37"/>
      <c r="S21" s="749"/>
      <c r="T21" s="326"/>
    </row>
    <row r="22" spans="2:20" s="1" customFormat="1" ht="44.15" customHeight="1" thickBot="1" x14ac:dyDescent="0.35">
      <c r="B22" s="171"/>
      <c r="C22" s="414" t="s">
        <v>42</v>
      </c>
      <c r="D22" s="41"/>
      <c r="E22" s="42"/>
      <c r="F22" s="43"/>
      <c r="G22" s="748" t="str">
        <f>IF(F22="","",IF(AND(D22="",F22&lt;&gt;""),"Entrer nombre Actuel",(F22-D22)/D22))</f>
        <v/>
      </c>
      <c r="H22" s="41"/>
      <c r="I22" s="42"/>
      <c r="J22" s="43"/>
      <c r="K22" s="748" t="str">
        <f t="shared" ref="K22" si="3">IF(J22="","",IF(AND(H22="",J22&lt;&gt;""),"Entrer nombre Actuel",(J22-H22)/H22))</f>
        <v/>
      </c>
      <c r="L22" s="41"/>
      <c r="M22" s="42"/>
      <c r="N22" s="43"/>
      <c r="O22" s="748" t="str">
        <f t="shared" ref="O22" si="4">IF(N22="","",IF(AND(L22="",N22&lt;&gt;""),"Entrer nombre Actuel",(N22-L22)/L22))</f>
        <v/>
      </c>
      <c r="P22" s="41"/>
      <c r="Q22" s="42"/>
      <c r="R22" s="43"/>
      <c r="S22" s="748" t="str">
        <f t="shared" ref="S22" si="5">IF(R22="","",IF(AND(P22="",R22&lt;&gt;""),"Entrer nombre Actuel",(R22-P22)/P22))</f>
        <v/>
      </c>
      <c r="T22" s="326"/>
    </row>
    <row r="23" spans="2:20" ht="10" customHeight="1" thickBot="1" x14ac:dyDescent="0.4">
      <c r="B23" s="193"/>
      <c r="C23" s="194"/>
      <c r="D23" s="415"/>
      <c r="E23" s="415"/>
      <c r="F23" s="416"/>
      <c r="G23" s="416"/>
      <c r="H23" s="417"/>
      <c r="I23" s="417"/>
      <c r="J23" s="417"/>
      <c r="K23" s="417"/>
      <c r="L23" s="416"/>
      <c r="M23" s="416"/>
      <c r="N23" s="416"/>
      <c r="O23" s="416"/>
      <c r="P23" s="417"/>
      <c r="Q23" s="417"/>
      <c r="R23" s="417"/>
      <c r="S23" s="417"/>
      <c r="T23" s="382"/>
    </row>
  </sheetData>
  <sheetProtection algorithmName="SHA-512" hashValue="8axqoUYdPcV0IFS0JQj9B2Ev8gKDCgWOlHK5foBpDdWy3H+XfYnJdq1T0BllwXzsbPgZ6Qdgol9QOFgAbGHe6Q==" saltValue="sUJ8bjM5ro2D5VjPDakp5A==" spinCount="100000" sheet="1" objects="1" scenarios="1" formatRows="0"/>
  <mergeCells count="18">
    <mergeCell ref="C9:S9"/>
    <mergeCell ref="C10:K10"/>
    <mergeCell ref="C12:K12"/>
    <mergeCell ref="R10:S11"/>
    <mergeCell ref="C11:N11"/>
    <mergeCell ref="H1:T1"/>
    <mergeCell ref="C7:S7"/>
    <mergeCell ref="J2:T2"/>
    <mergeCell ref="R3:T3"/>
    <mergeCell ref="P4:T4"/>
    <mergeCell ref="C14:C16"/>
    <mergeCell ref="D14:G15"/>
    <mergeCell ref="H14:K14"/>
    <mergeCell ref="L14:O14"/>
    <mergeCell ref="P14:S14"/>
    <mergeCell ref="H15:K15"/>
    <mergeCell ref="L15:O15"/>
    <mergeCell ref="P15:S15"/>
  </mergeCells>
  <phoneticPr fontId="44" type="noConversion"/>
  <conditionalFormatting sqref="F18">
    <cfRule type="expression" dxfId="73" priority="49">
      <formula>F17&lt;&gt;""</formula>
    </cfRule>
  </conditionalFormatting>
  <conditionalFormatting sqref="F18:F22">
    <cfRule type="expression" priority="39" stopIfTrue="1">
      <formula>F18&lt;&gt;""</formula>
    </cfRule>
  </conditionalFormatting>
  <conditionalFormatting sqref="F19">
    <cfRule type="expression" dxfId="72" priority="46">
      <formula>F17&lt;&gt;""</formula>
    </cfRule>
  </conditionalFormatting>
  <conditionalFormatting sqref="F20">
    <cfRule type="expression" dxfId="71" priority="44">
      <formula>F17&lt;&gt;""</formula>
    </cfRule>
  </conditionalFormatting>
  <conditionalFormatting sqref="F21">
    <cfRule type="expression" dxfId="70" priority="42">
      <formula>F17&lt;&gt;""</formula>
    </cfRule>
  </conditionalFormatting>
  <conditionalFormatting sqref="F22">
    <cfRule type="expression" dxfId="69" priority="40">
      <formula>F17&lt;&gt;""</formula>
    </cfRule>
  </conditionalFormatting>
  <conditionalFormatting sqref="G17:G19">
    <cfRule type="containsText" dxfId="68" priority="8" operator="containsText" text="Entrer nombre Actuel">
      <formula>NOT(ISERROR(SEARCH("Entrer nombre Actuel",G17)))</formula>
    </cfRule>
  </conditionalFormatting>
  <conditionalFormatting sqref="G22">
    <cfRule type="containsText" dxfId="67" priority="7" operator="containsText" text="Entrer nombre Actuel">
      <formula>NOT(ISERROR(SEARCH("Entrer nombre Actuel",G22)))</formula>
    </cfRule>
  </conditionalFormatting>
  <conditionalFormatting sqref="H15:K15">
    <cfRule type="notContainsBlanks" dxfId="66" priority="55">
      <formula>LEN(TRIM(H15))&gt;0</formula>
    </cfRule>
  </conditionalFormatting>
  <conditionalFormatting sqref="J18">
    <cfRule type="expression" dxfId="65" priority="38">
      <formula>J17&lt;&gt;""</formula>
    </cfRule>
  </conditionalFormatting>
  <conditionalFormatting sqref="J18:J22">
    <cfRule type="expression" priority="29" stopIfTrue="1">
      <formula>J18&lt;&gt;""</formula>
    </cfRule>
  </conditionalFormatting>
  <conditionalFormatting sqref="J19">
    <cfRule type="expression" dxfId="64" priority="36">
      <formula>J17&lt;&gt;""</formula>
    </cfRule>
  </conditionalFormatting>
  <conditionalFormatting sqref="J20">
    <cfRule type="expression" dxfId="63" priority="34">
      <formula>J17&lt;&gt;""</formula>
    </cfRule>
  </conditionalFormatting>
  <conditionalFormatting sqref="J21">
    <cfRule type="expression" dxfId="62" priority="32">
      <formula>J17&lt;&gt;""</formula>
    </cfRule>
  </conditionalFormatting>
  <conditionalFormatting sqref="J22">
    <cfRule type="expression" dxfId="61" priority="30">
      <formula>J17&lt;&gt;""</formula>
    </cfRule>
  </conditionalFormatting>
  <conditionalFormatting sqref="K17:K19">
    <cfRule type="containsText" dxfId="60" priority="6" operator="containsText" text="Entrer nombre Actuel">
      <formula>NOT(ISERROR(SEARCH("Entrer nombre Actuel",K17)))</formula>
    </cfRule>
  </conditionalFormatting>
  <conditionalFormatting sqref="K22">
    <cfRule type="containsText" dxfId="59" priority="5" operator="containsText" text="Entrer nombre Actuel">
      <formula>NOT(ISERROR(SEARCH("Entrer nombre Actuel",K22)))</formula>
    </cfRule>
  </conditionalFormatting>
  <conditionalFormatting sqref="L15:O15">
    <cfRule type="expression" dxfId="58" priority="54">
      <formula>OR(H15&lt;&gt;"",L15&lt;&gt;"")</formula>
    </cfRule>
  </conditionalFormatting>
  <conditionalFormatting sqref="N18">
    <cfRule type="expression" dxfId="57" priority="28">
      <formula>N17&lt;&gt;""</formula>
    </cfRule>
  </conditionalFormatting>
  <conditionalFormatting sqref="N18:N22">
    <cfRule type="expression" priority="19" stopIfTrue="1">
      <formula>N18&lt;&gt;""</formula>
    </cfRule>
  </conditionalFormatting>
  <conditionalFormatting sqref="N19">
    <cfRule type="expression" dxfId="56" priority="26">
      <formula>N17&lt;&gt;""</formula>
    </cfRule>
  </conditionalFormatting>
  <conditionalFormatting sqref="N20">
    <cfRule type="expression" dxfId="55" priority="24">
      <formula>N17&lt;&gt;""</formula>
    </cfRule>
  </conditionalFormatting>
  <conditionalFormatting sqref="N21">
    <cfRule type="expression" dxfId="54" priority="22">
      <formula>N17&lt;&gt;""</formula>
    </cfRule>
  </conditionalFormatting>
  <conditionalFormatting sqref="N22">
    <cfRule type="expression" dxfId="53" priority="20">
      <formula>N17&lt;&gt;""</formula>
    </cfRule>
  </conditionalFormatting>
  <conditionalFormatting sqref="O17:O19">
    <cfRule type="containsText" dxfId="52" priority="4" operator="containsText" text="Entrer nombre Actuel">
      <formula>NOT(ISERROR(SEARCH("Entrer nombre Actuel",O17)))</formula>
    </cfRule>
  </conditionalFormatting>
  <conditionalFormatting sqref="O22">
    <cfRule type="containsText" dxfId="51" priority="3" operator="containsText" text="Entrer nombre Actuel">
      <formula>NOT(ISERROR(SEARCH("Entrer nombre Actuel",O22)))</formula>
    </cfRule>
  </conditionalFormatting>
  <conditionalFormatting sqref="P15:S15">
    <cfRule type="expression" dxfId="50" priority="52">
      <formula>OR(H15&lt;&gt;"",P15&lt;&gt;"")</formula>
    </cfRule>
  </conditionalFormatting>
  <conditionalFormatting sqref="R18">
    <cfRule type="expression" dxfId="49" priority="18">
      <formula>R17&lt;&gt;""</formula>
    </cfRule>
  </conditionalFormatting>
  <conditionalFormatting sqref="R18:R22">
    <cfRule type="expression" priority="9" stopIfTrue="1">
      <formula>R18&lt;&gt;""</formula>
    </cfRule>
  </conditionalFormatting>
  <conditionalFormatting sqref="R19">
    <cfRule type="expression" dxfId="48" priority="16">
      <formula>R17&lt;&gt;""</formula>
    </cfRule>
  </conditionalFormatting>
  <conditionalFormatting sqref="R20">
    <cfRule type="expression" dxfId="47" priority="14">
      <formula>R17&lt;&gt;""</formula>
    </cfRule>
  </conditionalFormatting>
  <conditionalFormatting sqref="R21">
    <cfRule type="expression" dxfId="46" priority="12">
      <formula>R17&lt;&gt;""</formula>
    </cfRule>
  </conditionalFormatting>
  <conditionalFormatting sqref="R22">
    <cfRule type="expression" dxfId="45" priority="10">
      <formula>R17&lt;&gt;""</formula>
    </cfRule>
  </conditionalFormatting>
  <conditionalFormatting sqref="S17:S19">
    <cfRule type="containsText" dxfId="44" priority="2" operator="containsText" text="Entrer nombre Actuel">
      <formula>NOT(ISERROR(SEARCH("Entrer nombre Actuel",S17)))</formula>
    </cfRule>
  </conditionalFormatting>
  <conditionalFormatting sqref="S22">
    <cfRule type="containsText" dxfId="43" priority="1" operator="containsText" text="Entrer nombre Actuel">
      <formula>NOT(ISERROR(SEARCH("Entrer nombre Actuel",S22)))</formula>
    </cfRule>
  </conditionalFormatting>
  <dataValidations count="1">
    <dataValidation type="whole" operator="greaterThan" allowBlank="1" showInputMessage="1" showErrorMessage="1" error="Veuillez entrer un nombre entier sans décimale" sqref="P22:R22 D22:F22 H17:J19 H22:J22 L17:N19 L22:N22 P17:R19 D17:F19" xr:uid="{87DCC99C-6501-4B4E-8E73-A77D9864D88B}">
      <formula1>0</formula1>
    </dataValidation>
  </dataValidations>
  <hyperlinks>
    <hyperlink ref="R10" location="Rapport_Final!D12" display="accès rapide au rapport final" xr:uid="{AA09D4BB-FEF9-4A53-B535-8D80686A4FEC}"/>
    <hyperlink ref="C10:K10" location="Statistiques!H15" display="1. Identifier le(s) territoire(s) visé(s) à la ligne 15 cliquer ici" xr:uid="{977C824B-E08D-461D-9419-3639E39E5063}"/>
    <hyperlink ref="C12:K12" location="DEMANDE_Calendrier_Tournée!C7" display="3. Ensuite, compléter le Calendrier de tournée cliquer ici" xr:uid="{81FBE1EC-2BA0-4A0E-B0A6-7A1DCE3DE7F2}"/>
  </hyperlinks>
  <pageMargins left="0.25" right="0.25" top="0.75" bottom="0.75" header="0.3" footer="0.3"/>
  <pageSetup paperSize="3" scale="105" fitToWidth="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Veuillez sélectionner un choix dans la liste" prompt="Sélectionner dans la liste" xr:uid="{BD07314A-C2B8-474B-9441-AF9AB1C090FE}">
          <x14:formula1>
            <xm:f>Paramètres!$D$2:$D$5</xm:f>
          </x14:formula1>
          <xm:sqref>D20:F21 H20:J21 L20:N21 P20:R21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14847-5A24-4347-AEE5-80D3BDFB1CCE}">
  <sheetPr codeName="Feuil3">
    <tabColor theme="4" tint="-0.249977111117893"/>
    <pageSetUpPr fitToPage="1"/>
  </sheetPr>
  <dimension ref="B1:AC84"/>
  <sheetViews>
    <sheetView showGridLines="0" zoomScale="90" zoomScaleNormal="90" workbookViewId="0">
      <selection activeCell="C7" sqref="C7:M7"/>
    </sheetView>
  </sheetViews>
  <sheetFormatPr baseColWidth="10" defaultColWidth="10.81640625" defaultRowHeight="14" x14ac:dyDescent="0.3"/>
  <cols>
    <col min="1" max="1" width="1.54296875" style="1" customWidth="1"/>
    <col min="2" max="2" width="2.54296875" style="1" customWidth="1"/>
    <col min="3" max="3" width="4.90625" style="418" customWidth="1"/>
    <col min="4" max="4" width="18.6328125" style="418" customWidth="1"/>
    <col min="5" max="5" width="22.6328125" style="1" customWidth="1"/>
    <col min="6" max="6" width="8.81640625" style="2" customWidth="1"/>
    <col min="7" max="7" width="40.6328125" style="1" customWidth="1"/>
    <col min="8" max="8" width="8" style="1" customWidth="1"/>
    <col min="9" max="9" width="14.6328125" style="1" customWidth="1"/>
    <col min="10" max="10" width="40.6328125" style="1" customWidth="1"/>
    <col min="11" max="11" width="12.6328125" style="2" customWidth="1"/>
    <col min="12" max="12" width="14.36328125" style="1" customWidth="1"/>
    <col min="13" max="13" width="16.81640625" style="1" customWidth="1"/>
    <col min="14" max="14" width="2.54296875" style="1" customWidth="1"/>
    <col min="15" max="15" width="1.54296875" style="1" customWidth="1"/>
    <col min="16" max="16" width="38.81640625" style="427" customWidth="1"/>
    <col min="17" max="19" width="9.6328125" style="428" hidden="1" customWidth="1"/>
    <col min="20" max="21" width="9.6328125" style="429" hidden="1" customWidth="1"/>
    <col min="22" max="23" width="9.6328125" style="428" hidden="1" customWidth="1"/>
    <col min="24" max="24" width="9.6328125" style="430" hidden="1" customWidth="1"/>
    <col min="25" max="26" width="9.6328125" style="429" hidden="1" customWidth="1"/>
    <col min="27" max="28" width="9.6328125" style="430" hidden="1" customWidth="1"/>
    <col min="29" max="29" width="9.6328125" style="425" hidden="1" customWidth="1"/>
    <col min="30" max="38" width="10.81640625" style="1" customWidth="1"/>
    <col min="39" max="16384" width="10.81640625" style="1"/>
  </cols>
  <sheetData>
    <row r="1" spans="2:28" ht="36" customHeight="1" x14ac:dyDescent="0.35">
      <c r="F1" s="893" t="s">
        <v>571</v>
      </c>
      <c r="G1" s="893"/>
      <c r="H1" s="893"/>
      <c r="I1" s="893"/>
      <c r="J1" s="893"/>
      <c r="K1" s="893"/>
      <c r="L1" s="893"/>
      <c r="M1" s="893"/>
      <c r="N1" s="893"/>
      <c r="O1" s="419"/>
      <c r="P1" s="420"/>
      <c r="Q1" s="421" t="s">
        <v>409</v>
      </c>
      <c r="R1" s="422"/>
      <c r="S1" s="423"/>
      <c r="T1" s="422"/>
      <c r="U1" s="422"/>
      <c r="V1" s="422"/>
      <c r="W1" s="422"/>
      <c r="X1" s="424"/>
      <c r="Y1" s="422"/>
      <c r="Z1" s="422"/>
      <c r="AA1" s="424"/>
      <c r="AB1" s="424"/>
    </row>
    <row r="2" spans="2:28" ht="16" customHeight="1" x14ac:dyDescent="0.3">
      <c r="E2" s="426"/>
      <c r="F2" s="899" t="s">
        <v>87</v>
      </c>
      <c r="G2" s="899"/>
      <c r="H2" s="899"/>
      <c r="I2" s="899"/>
      <c r="J2" s="899"/>
      <c r="K2" s="899"/>
      <c r="L2" s="899"/>
      <c r="M2" s="899"/>
      <c r="N2" s="899"/>
    </row>
    <row r="3" spans="2:28" ht="16" customHeight="1" x14ac:dyDescent="0.3">
      <c r="E3" s="426"/>
      <c r="F3" s="223"/>
      <c r="G3" s="426"/>
      <c r="H3" s="426"/>
      <c r="I3" s="426"/>
      <c r="J3" s="900" t="s">
        <v>383</v>
      </c>
      <c r="K3" s="900"/>
      <c r="L3" s="900"/>
      <c r="M3" s="900"/>
      <c r="N3" s="900"/>
    </row>
    <row r="4" spans="2:28" ht="12" customHeight="1" x14ac:dyDescent="0.3">
      <c r="F4" s="370"/>
      <c r="G4" s="62"/>
      <c r="H4" s="62"/>
      <c r="I4" s="62"/>
      <c r="J4" s="898" t="s">
        <v>858</v>
      </c>
      <c r="K4" s="898"/>
      <c r="L4" s="898"/>
      <c r="M4" s="898"/>
      <c r="N4" s="898"/>
    </row>
    <row r="5" spans="2:28" ht="10" customHeight="1" thickBot="1" x14ac:dyDescent="0.35"/>
    <row r="6" spans="2:28" ht="10" customHeight="1" x14ac:dyDescent="0.3">
      <c r="B6" s="393"/>
      <c r="C6" s="431"/>
      <c r="D6" s="431"/>
      <c r="E6" s="432"/>
      <c r="F6" s="403"/>
      <c r="G6" s="432"/>
      <c r="H6" s="432"/>
      <c r="I6" s="432"/>
      <c r="J6" s="432"/>
      <c r="K6" s="403"/>
      <c r="L6" s="432"/>
      <c r="M6" s="432"/>
      <c r="N6" s="394"/>
    </row>
    <row r="7" spans="2:28" ht="26" customHeight="1" x14ac:dyDescent="0.3">
      <c r="B7" s="171"/>
      <c r="C7" s="1050" t="s">
        <v>484</v>
      </c>
      <c r="D7" s="1050"/>
      <c r="E7" s="1050"/>
      <c r="F7" s="1050"/>
      <c r="G7" s="1050"/>
      <c r="H7" s="1050"/>
      <c r="I7" s="1050"/>
      <c r="J7" s="1050"/>
      <c r="K7" s="1050"/>
      <c r="L7" s="1050"/>
      <c r="M7" s="1050"/>
      <c r="N7" s="326"/>
    </row>
    <row r="8" spans="2:28" ht="10" customHeight="1" x14ac:dyDescent="0.3">
      <c r="B8" s="171"/>
      <c r="E8" s="433"/>
      <c r="F8" s="434"/>
      <c r="G8" s="433"/>
      <c r="H8" s="433"/>
      <c r="I8" s="433"/>
      <c r="N8" s="326"/>
    </row>
    <row r="9" spans="2:28" ht="28" customHeight="1" x14ac:dyDescent="0.3">
      <c r="B9" s="171"/>
      <c r="C9" s="855" t="s">
        <v>64</v>
      </c>
      <c r="D9" s="855"/>
      <c r="E9" s="855"/>
      <c r="F9" s="855"/>
      <c r="G9" s="855"/>
      <c r="H9" s="855"/>
      <c r="I9" s="855"/>
      <c r="J9" s="855"/>
      <c r="K9" s="855"/>
      <c r="L9" s="855"/>
      <c r="M9" s="855"/>
      <c r="N9" s="326"/>
    </row>
    <row r="10" spans="2:28" ht="22" customHeight="1" x14ac:dyDescent="0.3">
      <c r="B10" s="171"/>
      <c r="C10" s="1043" t="s">
        <v>564</v>
      </c>
      <c r="D10" s="1043"/>
      <c r="E10" s="1043"/>
      <c r="F10" s="1043"/>
      <c r="G10" s="1043"/>
      <c r="H10" s="1043"/>
      <c r="I10" s="1043"/>
      <c r="J10" s="1043"/>
      <c r="K10" s="1043"/>
      <c r="L10" s="1043"/>
      <c r="M10" s="1043"/>
      <c r="N10" s="326"/>
    </row>
    <row r="11" spans="2:28" ht="22" customHeight="1" x14ac:dyDescent="0.3">
      <c r="B11" s="171"/>
      <c r="C11" s="1044" t="s">
        <v>828</v>
      </c>
      <c r="D11" s="1044"/>
      <c r="E11" s="1044"/>
      <c r="F11" s="1044"/>
      <c r="G11" s="1044"/>
      <c r="H11" s="1044"/>
      <c r="I11" s="1044"/>
      <c r="J11" s="1044"/>
      <c r="K11" s="1044"/>
      <c r="L11" s="1044"/>
      <c r="M11" s="1044"/>
      <c r="N11" s="326"/>
    </row>
    <row r="12" spans="2:28" ht="22" customHeight="1" x14ac:dyDescent="0.3">
      <c r="B12" s="171"/>
      <c r="C12" s="1044" t="s">
        <v>643</v>
      </c>
      <c r="D12" s="1044"/>
      <c r="E12" s="1044"/>
      <c r="F12" s="1044"/>
      <c r="G12" s="1044"/>
      <c r="H12" s="1044"/>
      <c r="I12" s="1044"/>
      <c r="J12" s="1044"/>
      <c r="K12" s="1044"/>
      <c r="L12" s="1044"/>
      <c r="M12" s="1044"/>
      <c r="N12" s="326"/>
    </row>
    <row r="13" spans="2:28" ht="22" customHeight="1" x14ac:dyDescent="0.3">
      <c r="B13" s="171"/>
      <c r="C13" s="1044" t="s">
        <v>739</v>
      </c>
      <c r="D13" s="1044"/>
      <c r="E13" s="1044"/>
      <c r="F13" s="1044"/>
      <c r="G13" s="1044"/>
      <c r="H13" s="1044"/>
      <c r="I13" s="1044"/>
      <c r="J13" s="1044"/>
      <c r="K13" s="1044"/>
      <c r="L13" s="1044"/>
      <c r="M13" s="1044"/>
      <c r="N13" s="326"/>
    </row>
    <row r="14" spans="2:28" ht="10" customHeight="1" x14ac:dyDescent="0.3">
      <c r="B14" s="171"/>
      <c r="C14" s="435"/>
      <c r="D14" s="435"/>
      <c r="E14" s="435"/>
      <c r="F14" s="435"/>
      <c r="G14" s="435"/>
      <c r="H14" s="435"/>
      <c r="I14" s="435"/>
      <c r="J14" s="435"/>
      <c r="K14" s="435"/>
      <c r="L14" s="435"/>
      <c r="M14" s="435"/>
      <c r="N14" s="326"/>
    </row>
    <row r="15" spans="2:28" ht="16" customHeight="1" x14ac:dyDescent="0.3">
      <c r="B15" s="171"/>
      <c r="C15" s="1048" t="s">
        <v>380</v>
      </c>
      <c r="D15" s="1048"/>
      <c r="E15" s="1048"/>
      <c r="F15" s="1048"/>
      <c r="G15" s="1048"/>
      <c r="H15" s="1048"/>
      <c r="I15" s="1048"/>
      <c r="J15" s="1048"/>
      <c r="K15" s="1048"/>
      <c r="L15" s="1048"/>
      <c r="M15" s="1048"/>
      <c r="N15" s="326"/>
    </row>
    <row r="16" spans="2:28" ht="16" customHeight="1" x14ac:dyDescent="0.35">
      <c r="B16" s="171"/>
      <c r="C16" s="436"/>
      <c r="D16" s="1049" t="s">
        <v>451</v>
      </c>
      <c r="E16" s="1049"/>
      <c r="F16" s="1049"/>
      <c r="G16" s="1049"/>
      <c r="H16" s="1049"/>
      <c r="I16" s="1049"/>
      <c r="J16" s="1049"/>
      <c r="K16" s="1049"/>
      <c r="L16" s="1049"/>
      <c r="M16" s="1049"/>
      <c r="N16" s="326"/>
    </row>
    <row r="17" spans="2:29" ht="16" customHeight="1" x14ac:dyDescent="0.35">
      <c r="B17" s="171"/>
      <c r="C17" s="436"/>
      <c r="D17" s="1049" t="s">
        <v>452</v>
      </c>
      <c r="E17" s="1049"/>
      <c r="F17" s="1049"/>
      <c r="G17" s="1049"/>
      <c r="H17" s="1049"/>
      <c r="I17" s="1049"/>
      <c r="J17" s="1049"/>
      <c r="K17" s="1049"/>
      <c r="L17" s="1049"/>
      <c r="M17" s="1049"/>
      <c r="N17" s="326"/>
      <c r="P17" s="437"/>
    </row>
    <row r="18" spans="2:29" ht="16" customHeight="1" x14ac:dyDescent="0.35">
      <c r="B18" s="171"/>
      <c r="C18" s="436"/>
      <c r="D18" s="1049" t="s">
        <v>453</v>
      </c>
      <c r="E18" s="1049"/>
      <c r="F18" s="1049"/>
      <c r="G18" s="1049"/>
      <c r="H18" s="1049"/>
      <c r="I18" s="1049"/>
      <c r="J18" s="1049"/>
      <c r="K18" s="1049"/>
      <c r="L18" s="1049"/>
      <c r="M18" s="1049"/>
      <c r="N18" s="326"/>
    </row>
    <row r="19" spans="2:29" ht="16" customHeight="1" x14ac:dyDescent="0.35">
      <c r="B19" s="171"/>
      <c r="C19" s="436"/>
      <c r="D19" s="1049" t="s">
        <v>462</v>
      </c>
      <c r="E19" s="1049"/>
      <c r="F19" s="1049"/>
      <c r="G19" s="1049"/>
      <c r="H19" s="1049"/>
      <c r="I19" s="1049"/>
      <c r="J19" s="1049"/>
      <c r="K19" s="1049"/>
      <c r="L19" s="1049"/>
      <c r="M19" s="1049"/>
      <c r="N19" s="326"/>
    </row>
    <row r="20" spans="2:29" ht="10" customHeight="1" x14ac:dyDescent="0.35">
      <c r="B20" s="171"/>
      <c r="C20" s="436"/>
      <c r="D20" s="438"/>
      <c r="E20" s="433"/>
      <c r="F20" s="434"/>
      <c r="G20" s="433"/>
      <c r="H20" s="433"/>
      <c r="I20" s="433"/>
      <c r="N20" s="326"/>
    </row>
    <row r="21" spans="2:29" s="370" customFormat="1" ht="106" customHeight="1" x14ac:dyDescent="0.35">
      <c r="B21" s="439"/>
      <c r="C21" s="440"/>
      <c r="D21" s="440" t="s">
        <v>619</v>
      </c>
      <c r="E21" s="441" t="s">
        <v>591</v>
      </c>
      <c r="F21" s="442" t="s">
        <v>449</v>
      </c>
      <c r="G21" s="443" t="s">
        <v>378</v>
      </c>
      <c r="H21" s="444" t="s">
        <v>379</v>
      </c>
      <c r="I21" s="445" t="s">
        <v>31</v>
      </c>
      <c r="J21" s="443" t="s">
        <v>592</v>
      </c>
      <c r="K21" s="441" t="s">
        <v>562</v>
      </c>
      <c r="L21" s="441" t="s">
        <v>839</v>
      </c>
      <c r="M21" s="441" t="s">
        <v>840</v>
      </c>
      <c r="N21" s="446"/>
      <c r="O21" s="439"/>
      <c r="P21" s="447" t="str">
        <f>IF(D22="","",
IF(D23="","Le programme requiert un minimum de cinq dates de spectacles et deux lieux de diffusion différents",
IF(D24="","Le programme requiert un minimum de cinq dates de spectacles et deux lieux de diffusion différents",
IF(D25="","Le programme requiert un minimum de cinq dates de spectacles et deux lieux de diffusion différents",
IF(D26="","Le programme requiert un minimum de cinq dates de spectacles et deux lieux de diffusion différents","")))))</f>
        <v/>
      </c>
      <c r="Q21" s="448" t="s">
        <v>403</v>
      </c>
      <c r="R21" s="448" t="s">
        <v>404</v>
      </c>
      <c r="S21" s="448" t="s">
        <v>405</v>
      </c>
      <c r="T21" s="448" t="s">
        <v>406</v>
      </c>
      <c r="U21" s="448" t="s">
        <v>450</v>
      </c>
      <c r="V21" s="449" t="s">
        <v>488</v>
      </c>
      <c r="W21" s="449" t="s">
        <v>489</v>
      </c>
      <c r="X21" s="450" t="s">
        <v>485</v>
      </c>
      <c r="Y21" s="448" t="s">
        <v>486</v>
      </c>
      <c r="Z21" s="448" t="s">
        <v>487</v>
      </c>
      <c r="AA21" s="450" t="s">
        <v>495</v>
      </c>
      <c r="AB21" s="450" t="s">
        <v>496</v>
      </c>
      <c r="AC21" s="448" t="s">
        <v>454</v>
      </c>
    </row>
    <row r="22" spans="2:29" s="62" customFormat="1" x14ac:dyDescent="0.35">
      <c r="B22" s="118"/>
      <c r="C22" s="451">
        <v>1</v>
      </c>
      <c r="D22" s="751" t="str">
        <f>IF(Formulaire_Demande!G85="","",Formulaire_Demande!G85)</f>
        <v/>
      </c>
      <c r="E22" s="13"/>
      <c r="F22" s="14"/>
      <c r="G22" s="30"/>
      <c r="H22" s="14"/>
      <c r="I22" s="29"/>
      <c r="J22" s="21"/>
      <c r="K22" s="22"/>
      <c r="L22" s="28"/>
      <c r="M22" s="28"/>
      <c r="N22" s="119"/>
      <c r="O22" s="452"/>
      <c r="P22" s="453" t="str">
        <f>IF(D22="",IF(AND(D21&lt;&gt;"",D23&lt;&gt;""),"Ne laissez aucune ligne vide entre deux dates",""),"")</f>
        <v/>
      </c>
      <c r="Q22" s="263" t="str">
        <f>IF(D22="","",IF(C22=1,1,0))</f>
        <v/>
      </c>
      <c r="R22" s="263">
        <f t="shared" ref="R22:R53" si="0">IF(D22="",0,1)</f>
        <v>0</v>
      </c>
      <c r="S22" s="263">
        <f>IFERROR(IF(D23-D22=1,0,IF(D23-D22&gt;1,1,0)),0)</f>
        <v>0</v>
      </c>
      <c r="T22" s="263">
        <f t="shared" ref="T22:T53" si="1">IF(AND(D22&lt;&gt;"",D23=""),1,0)</f>
        <v>0</v>
      </c>
      <c r="U22" s="263"/>
      <c r="V22" s="423">
        <f>SUM(Q22:U22)</f>
        <v>0</v>
      </c>
      <c r="W22" s="423">
        <f>+V22</f>
        <v>0</v>
      </c>
      <c r="X22" s="454">
        <f t="shared" ref="X22:X53" si="2">IF(H22="oui",80,IF(H22="non",140,0))</f>
        <v>0</v>
      </c>
      <c r="Y22" s="263">
        <f t="shared" ref="Y22:Y53" si="3">IF(AND(H22="oui",W22&lt;=30),R22,0)</f>
        <v>0</v>
      </c>
      <c r="Z22" s="263">
        <f t="shared" ref="Z22:Z53" si="4">IF(AND(H22="non",W22&lt;=30),SUM(Q22,R22,S22,T22,U22),IF(AND(H22="oui",W22&lt;=30),SUM(Q22,S22,T22,U22),0))</f>
        <v>0</v>
      </c>
      <c r="AA22" s="454">
        <f t="shared" ref="AA22:AA53" si="5">IF(H22="oui",((140*Q22)+(80*R22)+(140*S22)+(140*T22)),0)</f>
        <v>0</v>
      </c>
      <c r="AB22" s="454">
        <f t="shared" ref="AB22:AB53" si="6">IF(H22="non",((X22*Q22)+(X22*R22)+(X22*S22)+(X22*T22)),0)</f>
        <v>0</v>
      </c>
      <c r="AC22" s="263">
        <f>IF(OR(D22="",E22=""),0,IF(D22=D21,0,1))</f>
        <v>0</v>
      </c>
    </row>
    <row r="23" spans="2:29" s="62" customFormat="1" x14ac:dyDescent="0.35">
      <c r="B23" s="118"/>
      <c r="C23" s="451">
        <v>2</v>
      </c>
      <c r="D23" s="654"/>
      <c r="E23" s="13"/>
      <c r="F23" s="14"/>
      <c r="G23" s="30"/>
      <c r="H23" s="14"/>
      <c r="I23" s="29"/>
      <c r="J23" s="21"/>
      <c r="K23" s="22"/>
      <c r="L23" s="28"/>
      <c r="M23" s="28"/>
      <c r="N23" s="119"/>
      <c r="P23" s="453" t="str">
        <f t="shared" ref="P23:P71" si="7">IF(D23="",IF(AND(D22&lt;&gt;"",D24&lt;&gt;""),"Ne laissez aucune ligne vide entre deux dates",""),"")</f>
        <v/>
      </c>
      <c r="Q23" s="263">
        <f t="shared" ref="Q23:Q53" si="8">IF(C23=1,1,0)</f>
        <v>0</v>
      </c>
      <c r="R23" s="263">
        <f t="shared" si="0"/>
        <v>0</v>
      </c>
      <c r="S23" s="263">
        <f t="shared" ref="S23:S71" si="9">IFERROR(IF(D24-D23=1,0,IF(D24-D23&gt;1,1,0)),0)</f>
        <v>0</v>
      </c>
      <c r="T23" s="263">
        <f t="shared" si="1"/>
        <v>0</v>
      </c>
      <c r="U23" s="263">
        <f>IF(D23="",0,IF(D23=D22,-1,0))</f>
        <v>0</v>
      </c>
      <c r="V23" s="423">
        <f t="shared" ref="V23:V71" si="10">SUM(Q23:U23)</f>
        <v>0</v>
      </c>
      <c r="W23" s="423">
        <f>SUM($V$22:V23)</f>
        <v>0</v>
      </c>
      <c r="X23" s="454">
        <f t="shared" si="2"/>
        <v>0</v>
      </c>
      <c r="Y23" s="263">
        <f t="shared" si="3"/>
        <v>0</v>
      </c>
      <c r="Z23" s="263">
        <f t="shared" si="4"/>
        <v>0</v>
      </c>
      <c r="AA23" s="454">
        <f t="shared" si="5"/>
        <v>0</v>
      </c>
      <c r="AB23" s="454">
        <f t="shared" si="6"/>
        <v>0</v>
      </c>
      <c r="AC23" s="263">
        <f t="shared" ref="AC23:AC71" si="11">IF(OR(D23="",E23=""),0,IF(D23=D22,0,1))</f>
        <v>0</v>
      </c>
    </row>
    <row r="24" spans="2:29" s="62" customFormat="1" x14ac:dyDescent="0.35">
      <c r="B24" s="118"/>
      <c r="C24" s="451">
        <v>3</v>
      </c>
      <c r="D24" s="654"/>
      <c r="E24" s="13"/>
      <c r="F24" s="14"/>
      <c r="G24" s="30"/>
      <c r="H24" s="14"/>
      <c r="I24" s="29"/>
      <c r="J24" s="21"/>
      <c r="K24" s="22"/>
      <c r="L24" s="28"/>
      <c r="M24" s="28"/>
      <c r="N24" s="119"/>
      <c r="P24" s="453" t="str">
        <f t="shared" si="7"/>
        <v/>
      </c>
      <c r="Q24" s="263">
        <f t="shared" si="8"/>
        <v>0</v>
      </c>
      <c r="R24" s="263">
        <f t="shared" si="0"/>
        <v>0</v>
      </c>
      <c r="S24" s="263">
        <f t="shared" si="9"/>
        <v>0</v>
      </c>
      <c r="T24" s="263">
        <f t="shared" si="1"/>
        <v>0</v>
      </c>
      <c r="U24" s="263">
        <f t="shared" ref="U24:U71" si="12">IF(D24="",0,IF(D24=D23,-1,0))</f>
        <v>0</v>
      </c>
      <c r="V24" s="423">
        <f t="shared" si="10"/>
        <v>0</v>
      </c>
      <c r="W24" s="423">
        <f>SUM($V$22:V24)</f>
        <v>0</v>
      </c>
      <c r="X24" s="454">
        <f t="shared" si="2"/>
        <v>0</v>
      </c>
      <c r="Y24" s="263">
        <f t="shared" si="3"/>
        <v>0</v>
      </c>
      <c r="Z24" s="263">
        <f t="shared" si="4"/>
        <v>0</v>
      </c>
      <c r="AA24" s="454">
        <f t="shared" si="5"/>
        <v>0</v>
      </c>
      <c r="AB24" s="454">
        <f t="shared" si="6"/>
        <v>0</v>
      </c>
      <c r="AC24" s="263">
        <f t="shared" si="11"/>
        <v>0</v>
      </c>
    </row>
    <row r="25" spans="2:29" s="62" customFormat="1" x14ac:dyDescent="0.35">
      <c r="B25" s="118"/>
      <c r="C25" s="451">
        <v>4</v>
      </c>
      <c r="D25" s="654"/>
      <c r="E25" s="13"/>
      <c r="F25" s="14"/>
      <c r="G25" s="30"/>
      <c r="H25" s="14"/>
      <c r="I25" s="29"/>
      <c r="J25" s="21"/>
      <c r="K25" s="22"/>
      <c r="L25" s="28"/>
      <c r="M25" s="28"/>
      <c r="N25" s="119"/>
      <c r="P25" s="453" t="str">
        <f t="shared" si="7"/>
        <v/>
      </c>
      <c r="Q25" s="263">
        <f t="shared" si="8"/>
        <v>0</v>
      </c>
      <c r="R25" s="263">
        <f t="shared" si="0"/>
        <v>0</v>
      </c>
      <c r="S25" s="263">
        <f t="shared" si="9"/>
        <v>0</v>
      </c>
      <c r="T25" s="263">
        <f t="shared" si="1"/>
        <v>0</v>
      </c>
      <c r="U25" s="263">
        <f t="shared" si="12"/>
        <v>0</v>
      </c>
      <c r="V25" s="423">
        <f t="shared" si="10"/>
        <v>0</v>
      </c>
      <c r="W25" s="423">
        <f>SUM($V$22:V25)</f>
        <v>0</v>
      </c>
      <c r="X25" s="454">
        <f t="shared" si="2"/>
        <v>0</v>
      </c>
      <c r="Y25" s="263">
        <f t="shared" si="3"/>
        <v>0</v>
      </c>
      <c r="Z25" s="263">
        <f t="shared" si="4"/>
        <v>0</v>
      </c>
      <c r="AA25" s="454">
        <f t="shared" si="5"/>
        <v>0</v>
      </c>
      <c r="AB25" s="454">
        <f t="shared" si="6"/>
        <v>0</v>
      </c>
      <c r="AC25" s="263">
        <f t="shared" si="11"/>
        <v>0</v>
      </c>
    </row>
    <row r="26" spans="2:29" s="62" customFormat="1" x14ac:dyDescent="0.35">
      <c r="B26" s="118"/>
      <c r="C26" s="451">
        <v>5</v>
      </c>
      <c r="D26" s="654"/>
      <c r="E26" s="13"/>
      <c r="F26" s="14"/>
      <c r="G26" s="30"/>
      <c r="H26" s="14"/>
      <c r="I26" s="29"/>
      <c r="J26" s="21"/>
      <c r="K26" s="22"/>
      <c r="L26" s="28"/>
      <c r="M26" s="28"/>
      <c r="N26" s="119"/>
      <c r="P26" s="453" t="str">
        <f t="shared" si="7"/>
        <v/>
      </c>
      <c r="Q26" s="263">
        <f t="shared" si="8"/>
        <v>0</v>
      </c>
      <c r="R26" s="263">
        <f t="shared" si="0"/>
        <v>0</v>
      </c>
      <c r="S26" s="263">
        <f t="shared" si="9"/>
        <v>0</v>
      </c>
      <c r="T26" s="263">
        <f t="shared" si="1"/>
        <v>0</v>
      </c>
      <c r="U26" s="263">
        <f t="shared" si="12"/>
        <v>0</v>
      </c>
      <c r="V26" s="423">
        <f t="shared" si="10"/>
        <v>0</v>
      </c>
      <c r="W26" s="423">
        <f>SUM($V$22:V26)</f>
        <v>0</v>
      </c>
      <c r="X26" s="454">
        <f t="shared" si="2"/>
        <v>0</v>
      </c>
      <c r="Y26" s="263">
        <f t="shared" si="3"/>
        <v>0</v>
      </c>
      <c r="Z26" s="263">
        <f t="shared" si="4"/>
        <v>0</v>
      </c>
      <c r="AA26" s="454">
        <f t="shared" si="5"/>
        <v>0</v>
      </c>
      <c r="AB26" s="454">
        <f t="shared" si="6"/>
        <v>0</v>
      </c>
      <c r="AC26" s="263">
        <f t="shared" si="11"/>
        <v>0</v>
      </c>
    </row>
    <row r="27" spans="2:29" s="62" customFormat="1" x14ac:dyDescent="0.35">
      <c r="B27" s="118"/>
      <c r="C27" s="451">
        <v>6</v>
      </c>
      <c r="D27" s="654"/>
      <c r="E27" s="13"/>
      <c r="F27" s="14"/>
      <c r="G27" s="30"/>
      <c r="H27" s="14"/>
      <c r="I27" s="29"/>
      <c r="J27" s="21"/>
      <c r="K27" s="22"/>
      <c r="L27" s="28"/>
      <c r="M27" s="28"/>
      <c r="N27" s="119"/>
      <c r="P27" s="453" t="str">
        <f t="shared" si="7"/>
        <v/>
      </c>
      <c r="Q27" s="263">
        <f t="shared" si="8"/>
        <v>0</v>
      </c>
      <c r="R27" s="263">
        <f t="shared" si="0"/>
        <v>0</v>
      </c>
      <c r="S27" s="263">
        <f t="shared" si="9"/>
        <v>0</v>
      </c>
      <c r="T27" s="263">
        <f t="shared" si="1"/>
        <v>0</v>
      </c>
      <c r="U27" s="263">
        <f t="shared" si="12"/>
        <v>0</v>
      </c>
      <c r="V27" s="423">
        <f t="shared" si="10"/>
        <v>0</v>
      </c>
      <c r="W27" s="423">
        <f>SUM($V$22:V27)</f>
        <v>0</v>
      </c>
      <c r="X27" s="454">
        <f t="shared" si="2"/>
        <v>0</v>
      </c>
      <c r="Y27" s="263">
        <f t="shared" si="3"/>
        <v>0</v>
      </c>
      <c r="Z27" s="263">
        <f t="shared" si="4"/>
        <v>0</v>
      </c>
      <c r="AA27" s="454">
        <f t="shared" si="5"/>
        <v>0</v>
      </c>
      <c r="AB27" s="454">
        <f t="shared" si="6"/>
        <v>0</v>
      </c>
      <c r="AC27" s="263">
        <f t="shared" si="11"/>
        <v>0</v>
      </c>
    </row>
    <row r="28" spans="2:29" s="62" customFormat="1" x14ac:dyDescent="0.35">
      <c r="B28" s="118"/>
      <c r="C28" s="451">
        <v>7</v>
      </c>
      <c r="D28" s="654"/>
      <c r="E28" s="13"/>
      <c r="F28" s="14"/>
      <c r="G28" s="30"/>
      <c r="H28" s="14"/>
      <c r="I28" s="29"/>
      <c r="J28" s="21"/>
      <c r="K28" s="22"/>
      <c r="L28" s="28"/>
      <c r="M28" s="28"/>
      <c r="N28" s="119"/>
      <c r="P28" s="453" t="str">
        <f t="shared" si="7"/>
        <v/>
      </c>
      <c r="Q28" s="263">
        <f t="shared" si="8"/>
        <v>0</v>
      </c>
      <c r="R28" s="263">
        <f t="shared" si="0"/>
        <v>0</v>
      </c>
      <c r="S28" s="263">
        <f t="shared" si="9"/>
        <v>0</v>
      </c>
      <c r="T28" s="263">
        <f t="shared" si="1"/>
        <v>0</v>
      </c>
      <c r="U28" s="263">
        <f t="shared" si="12"/>
        <v>0</v>
      </c>
      <c r="V28" s="423">
        <f t="shared" si="10"/>
        <v>0</v>
      </c>
      <c r="W28" s="423">
        <f>SUM($V$22:V28)</f>
        <v>0</v>
      </c>
      <c r="X28" s="454">
        <f t="shared" si="2"/>
        <v>0</v>
      </c>
      <c r="Y28" s="263">
        <f t="shared" si="3"/>
        <v>0</v>
      </c>
      <c r="Z28" s="263">
        <f t="shared" si="4"/>
        <v>0</v>
      </c>
      <c r="AA28" s="454">
        <f t="shared" si="5"/>
        <v>0</v>
      </c>
      <c r="AB28" s="454">
        <f t="shared" si="6"/>
        <v>0</v>
      </c>
      <c r="AC28" s="263">
        <f t="shared" si="11"/>
        <v>0</v>
      </c>
    </row>
    <row r="29" spans="2:29" s="62" customFormat="1" x14ac:dyDescent="0.35">
      <c r="B29" s="118"/>
      <c r="C29" s="451">
        <v>8</v>
      </c>
      <c r="D29" s="654"/>
      <c r="E29" s="13"/>
      <c r="F29" s="14"/>
      <c r="G29" s="30"/>
      <c r="H29" s="14"/>
      <c r="I29" s="29"/>
      <c r="J29" s="21"/>
      <c r="K29" s="22"/>
      <c r="L29" s="28"/>
      <c r="M29" s="28"/>
      <c r="N29" s="119"/>
      <c r="P29" s="453" t="str">
        <f t="shared" si="7"/>
        <v/>
      </c>
      <c r="Q29" s="263">
        <f t="shared" si="8"/>
        <v>0</v>
      </c>
      <c r="R29" s="263">
        <f t="shared" si="0"/>
        <v>0</v>
      </c>
      <c r="S29" s="263">
        <f t="shared" si="9"/>
        <v>0</v>
      </c>
      <c r="T29" s="263">
        <f t="shared" si="1"/>
        <v>0</v>
      </c>
      <c r="U29" s="263">
        <f t="shared" si="12"/>
        <v>0</v>
      </c>
      <c r="V29" s="423">
        <f t="shared" si="10"/>
        <v>0</v>
      </c>
      <c r="W29" s="423">
        <f>SUM($V$22:V29)</f>
        <v>0</v>
      </c>
      <c r="X29" s="454">
        <f t="shared" si="2"/>
        <v>0</v>
      </c>
      <c r="Y29" s="263">
        <f t="shared" si="3"/>
        <v>0</v>
      </c>
      <c r="Z29" s="263">
        <f t="shared" si="4"/>
        <v>0</v>
      </c>
      <c r="AA29" s="454">
        <f t="shared" si="5"/>
        <v>0</v>
      </c>
      <c r="AB29" s="454">
        <f t="shared" si="6"/>
        <v>0</v>
      </c>
      <c r="AC29" s="263">
        <f t="shared" si="11"/>
        <v>0</v>
      </c>
    </row>
    <row r="30" spans="2:29" s="62" customFormat="1" x14ac:dyDescent="0.35">
      <c r="B30" s="118"/>
      <c r="C30" s="451">
        <v>9</v>
      </c>
      <c r="D30" s="654"/>
      <c r="E30" s="13"/>
      <c r="F30" s="14"/>
      <c r="G30" s="30"/>
      <c r="H30" s="14"/>
      <c r="I30" s="29"/>
      <c r="J30" s="21"/>
      <c r="K30" s="22"/>
      <c r="L30" s="28"/>
      <c r="M30" s="28"/>
      <c r="N30" s="119"/>
      <c r="P30" s="453" t="str">
        <f t="shared" si="7"/>
        <v/>
      </c>
      <c r="Q30" s="263">
        <f t="shared" si="8"/>
        <v>0</v>
      </c>
      <c r="R30" s="263">
        <f t="shared" si="0"/>
        <v>0</v>
      </c>
      <c r="S30" s="263">
        <f t="shared" si="9"/>
        <v>0</v>
      </c>
      <c r="T30" s="263">
        <f t="shared" si="1"/>
        <v>0</v>
      </c>
      <c r="U30" s="263">
        <f t="shared" si="12"/>
        <v>0</v>
      </c>
      <c r="V30" s="423">
        <f t="shared" si="10"/>
        <v>0</v>
      </c>
      <c r="W30" s="423">
        <f>SUM($V$22:V30)</f>
        <v>0</v>
      </c>
      <c r="X30" s="454">
        <f t="shared" si="2"/>
        <v>0</v>
      </c>
      <c r="Y30" s="263">
        <f t="shared" si="3"/>
        <v>0</v>
      </c>
      <c r="Z30" s="263">
        <f t="shared" si="4"/>
        <v>0</v>
      </c>
      <c r="AA30" s="454">
        <f t="shared" si="5"/>
        <v>0</v>
      </c>
      <c r="AB30" s="454">
        <f t="shared" si="6"/>
        <v>0</v>
      </c>
      <c r="AC30" s="263">
        <f t="shared" si="11"/>
        <v>0</v>
      </c>
    </row>
    <row r="31" spans="2:29" s="62" customFormat="1" x14ac:dyDescent="0.35">
      <c r="B31" s="118"/>
      <c r="C31" s="451">
        <v>10</v>
      </c>
      <c r="D31" s="654"/>
      <c r="E31" s="13"/>
      <c r="F31" s="14"/>
      <c r="G31" s="30"/>
      <c r="H31" s="14"/>
      <c r="I31" s="29"/>
      <c r="J31" s="21"/>
      <c r="K31" s="22"/>
      <c r="L31" s="28"/>
      <c r="M31" s="28"/>
      <c r="N31" s="119"/>
      <c r="P31" s="453" t="str">
        <f t="shared" si="7"/>
        <v/>
      </c>
      <c r="Q31" s="263">
        <f t="shared" si="8"/>
        <v>0</v>
      </c>
      <c r="R31" s="263">
        <f t="shared" si="0"/>
        <v>0</v>
      </c>
      <c r="S31" s="263">
        <f t="shared" si="9"/>
        <v>0</v>
      </c>
      <c r="T31" s="263">
        <f t="shared" si="1"/>
        <v>0</v>
      </c>
      <c r="U31" s="263">
        <f t="shared" si="12"/>
        <v>0</v>
      </c>
      <c r="V31" s="423">
        <f t="shared" si="10"/>
        <v>0</v>
      </c>
      <c r="W31" s="423">
        <f>SUM($V$22:V31)</f>
        <v>0</v>
      </c>
      <c r="X31" s="454">
        <f t="shared" si="2"/>
        <v>0</v>
      </c>
      <c r="Y31" s="263">
        <f t="shared" si="3"/>
        <v>0</v>
      </c>
      <c r="Z31" s="263">
        <f t="shared" si="4"/>
        <v>0</v>
      </c>
      <c r="AA31" s="454">
        <f t="shared" si="5"/>
        <v>0</v>
      </c>
      <c r="AB31" s="454">
        <f t="shared" si="6"/>
        <v>0</v>
      </c>
      <c r="AC31" s="263">
        <f t="shared" si="11"/>
        <v>0</v>
      </c>
    </row>
    <row r="32" spans="2:29" s="62" customFormat="1" x14ac:dyDescent="0.35">
      <c r="B32" s="118"/>
      <c r="C32" s="451">
        <v>11</v>
      </c>
      <c r="D32" s="654"/>
      <c r="E32" s="13"/>
      <c r="F32" s="14"/>
      <c r="G32" s="30"/>
      <c r="H32" s="14"/>
      <c r="I32" s="29"/>
      <c r="J32" s="21"/>
      <c r="K32" s="22"/>
      <c r="L32" s="28"/>
      <c r="M32" s="28"/>
      <c r="N32" s="119"/>
      <c r="P32" s="453" t="str">
        <f t="shared" si="7"/>
        <v/>
      </c>
      <c r="Q32" s="263">
        <f t="shared" si="8"/>
        <v>0</v>
      </c>
      <c r="R32" s="263">
        <f t="shared" si="0"/>
        <v>0</v>
      </c>
      <c r="S32" s="263">
        <f t="shared" si="9"/>
        <v>0</v>
      </c>
      <c r="T32" s="263">
        <f t="shared" si="1"/>
        <v>0</v>
      </c>
      <c r="U32" s="263">
        <f t="shared" si="12"/>
        <v>0</v>
      </c>
      <c r="V32" s="423">
        <f t="shared" si="10"/>
        <v>0</v>
      </c>
      <c r="W32" s="423">
        <f>SUM($V$22:V32)</f>
        <v>0</v>
      </c>
      <c r="X32" s="454">
        <f t="shared" si="2"/>
        <v>0</v>
      </c>
      <c r="Y32" s="263">
        <f t="shared" si="3"/>
        <v>0</v>
      </c>
      <c r="Z32" s="263">
        <f t="shared" si="4"/>
        <v>0</v>
      </c>
      <c r="AA32" s="454">
        <f t="shared" si="5"/>
        <v>0</v>
      </c>
      <c r="AB32" s="454">
        <f t="shared" si="6"/>
        <v>0</v>
      </c>
      <c r="AC32" s="263">
        <f t="shared" si="11"/>
        <v>0</v>
      </c>
    </row>
    <row r="33" spans="2:29" s="62" customFormat="1" x14ac:dyDescent="0.35">
      <c r="B33" s="118"/>
      <c r="C33" s="451">
        <v>12</v>
      </c>
      <c r="D33" s="654"/>
      <c r="E33" s="13"/>
      <c r="F33" s="14"/>
      <c r="G33" s="30"/>
      <c r="H33" s="14"/>
      <c r="I33" s="29"/>
      <c r="J33" s="21"/>
      <c r="K33" s="22"/>
      <c r="L33" s="28"/>
      <c r="M33" s="28"/>
      <c r="N33" s="119"/>
      <c r="P33" s="453" t="str">
        <f t="shared" si="7"/>
        <v/>
      </c>
      <c r="Q33" s="263">
        <f t="shared" si="8"/>
        <v>0</v>
      </c>
      <c r="R33" s="263">
        <f t="shared" si="0"/>
        <v>0</v>
      </c>
      <c r="S33" s="263">
        <f t="shared" si="9"/>
        <v>0</v>
      </c>
      <c r="T33" s="263">
        <f t="shared" si="1"/>
        <v>0</v>
      </c>
      <c r="U33" s="263">
        <f t="shared" si="12"/>
        <v>0</v>
      </c>
      <c r="V33" s="423">
        <f t="shared" si="10"/>
        <v>0</v>
      </c>
      <c r="W33" s="423">
        <f>SUM($V$22:V33)</f>
        <v>0</v>
      </c>
      <c r="X33" s="454">
        <f t="shared" si="2"/>
        <v>0</v>
      </c>
      <c r="Y33" s="263">
        <f t="shared" si="3"/>
        <v>0</v>
      </c>
      <c r="Z33" s="263">
        <f t="shared" si="4"/>
        <v>0</v>
      </c>
      <c r="AA33" s="454">
        <f t="shared" si="5"/>
        <v>0</v>
      </c>
      <c r="AB33" s="454">
        <f t="shared" si="6"/>
        <v>0</v>
      </c>
      <c r="AC33" s="263">
        <f t="shared" si="11"/>
        <v>0</v>
      </c>
    </row>
    <row r="34" spans="2:29" s="62" customFormat="1" x14ac:dyDescent="0.35">
      <c r="B34" s="118"/>
      <c r="C34" s="451">
        <v>13</v>
      </c>
      <c r="D34" s="654"/>
      <c r="E34" s="13"/>
      <c r="F34" s="14"/>
      <c r="G34" s="30"/>
      <c r="H34" s="14"/>
      <c r="I34" s="29"/>
      <c r="J34" s="21"/>
      <c r="K34" s="22"/>
      <c r="L34" s="28"/>
      <c r="M34" s="28"/>
      <c r="N34" s="119"/>
      <c r="P34" s="453" t="str">
        <f t="shared" si="7"/>
        <v/>
      </c>
      <c r="Q34" s="263">
        <f t="shared" si="8"/>
        <v>0</v>
      </c>
      <c r="R34" s="263">
        <f t="shared" si="0"/>
        <v>0</v>
      </c>
      <c r="S34" s="263">
        <f t="shared" si="9"/>
        <v>0</v>
      </c>
      <c r="T34" s="263">
        <f t="shared" si="1"/>
        <v>0</v>
      </c>
      <c r="U34" s="263">
        <f t="shared" si="12"/>
        <v>0</v>
      </c>
      <c r="V34" s="423">
        <f t="shared" si="10"/>
        <v>0</v>
      </c>
      <c r="W34" s="423">
        <f>SUM($V$22:V34)</f>
        <v>0</v>
      </c>
      <c r="X34" s="454">
        <f t="shared" si="2"/>
        <v>0</v>
      </c>
      <c r="Y34" s="263">
        <f t="shared" si="3"/>
        <v>0</v>
      </c>
      <c r="Z34" s="263">
        <f t="shared" si="4"/>
        <v>0</v>
      </c>
      <c r="AA34" s="454">
        <f t="shared" si="5"/>
        <v>0</v>
      </c>
      <c r="AB34" s="454">
        <f t="shared" si="6"/>
        <v>0</v>
      </c>
      <c r="AC34" s="263">
        <f t="shared" si="11"/>
        <v>0</v>
      </c>
    </row>
    <row r="35" spans="2:29" s="62" customFormat="1" x14ac:dyDescent="0.35">
      <c r="B35" s="118"/>
      <c r="C35" s="451">
        <v>14</v>
      </c>
      <c r="D35" s="654"/>
      <c r="E35" s="13"/>
      <c r="F35" s="14"/>
      <c r="G35" s="30"/>
      <c r="H35" s="14"/>
      <c r="I35" s="29"/>
      <c r="J35" s="21"/>
      <c r="K35" s="22"/>
      <c r="L35" s="28"/>
      <c r="M35" s="28"/>
      <c r="N35" s="119"/>
      <c r="P35" s="453" t="str">
        <f t="shared" si="7"/>
        <v/>
      </c>
      <c r="Q35" s="263">
        <f t="shared" si="8"/>
        <v>0</v>
      </c>
      <c r="R35" s="263">
        <f t="shared" si="0"/>
        <v>0</v>
      </c>
      <c r="S35" s="263">
        <f t="shared" si="9"/>
        <v>0</v>
      </c>
      <c r="T35" s="263">
        <f t="shared" si="1"/>
        <v>0</v>
      </c>
      <c r="U35" s="263">
        <f t="shared" si="12"/>
        <v>0</v>
      </c>
      <c r="V35" s="423">
        <f t="shared" si="10"/>
        <v>0</v>
      </c>
      <c r="W35" s="423">
        <f>SUM($V$22:V35)</f>
        <v>0</v>
      </c>
      <c r="X35" s="454">
        <f t="shared" si="2"/>
        <v>0</v>
      </c>
      <c r="Y35" s="263">
        <f t="shared" si="3"/>
        <v>0</v>
      </c>
      <c r="Z35" s="263">
        <f t="shared" si="4"/>
        <v>0</v>
      </c>
      <c r="AA35" s="454">
        <f t="shared" si="5"/>
        <v>0</v>
      </c>
      <c r="AB35" s="454">
        <f t="shared" si="6"/>
        <v>0</v>
      </c>
      <c r="AC35" s="263">
        <f t="shared" si="11"/>
        <v>0</v>
      </c>
    </row>
    <row r="36" spans="2:29" s="62" customFormat="1" x14ac:dyDescent="0.35">
      <c r="B36" s="118"/>
      <c r="C36" s="451">
        <v>15</v>
      </c>
      <c r="D36" s="654"/>
      <c r="E36" s="13"/>
      <c r="F36" s="14"/>
      <c r="G36" s="30"/>
      <c r="H36" s="14"/>
      <c r="I36" s="29"/>
      <c r="J36" s="21"/>
      <c r="K36" s="22"/>
      <c r="L36" s="28"/>
      <c r="M36" s="28"/>
      <c r="N36" s="119"/>
      <c r="P36" s="453" t="str">
        <f t="shared" si="7"/>
        <v/>
      </c>
      <c r="Q36" s="263">
        <f t="shared" si="8"/>
        <v>0</v>
      </c>
      <c r="R36" s="263">
        <f t="shared" si="0"/>
        <v>0</v>
      </c>
      <c r="S36" s="263">
        <f t="shared" si="9"/>
        <v>0</v>
      </c>
      <c r="T36" s="263">
        <f t="shared" si="1"/>
        <v>0</v>
      </c>
      <c r="U36" s="263">
        <f t="shared" si="12"/>
        <v>0</v>
      </c>
      <c r="V36" s="423">
        <f t="shared" si="10"/>
        <v>0</v>
      </c>
      <c r="W36" s="423">
        <f>SUM($V$22:V36)</f>
        <v>0</v>
      </c>
      <c r="X36" s="454">
        <f t="shared" si="2"/>
        <v>0</v>
      </c>
      <c r="Y36" s="263">
        <f t="shared" si="3"/>
        <v>0</v>
      </c>
      <c r="Z36" s="263">
        <f t="shared" si="4"/>
        <v>0</v>
      </c>
      <c r="AA36" s="454">
        <f t="shared" si="5"/>
        <v>0</v>
      </c>
      <c r="AB36" s="454">
        <f t="shared" si="6"/>
        <v>0</v>
      </c>
      <c r="AC36" s="263">
        <f t="shared" si="11"/>
        <v>0</v>
      </c>
    </row>
    <row r="37" spans="2:29" s="62" customFormat="1" x14ac:dyDescent="0.35">
      <c r="B37" s="118"/>
      <c r="C37" s="451">
        <v>16</v>
      </c>
      <c r="D37" s="654"/>
      <c r="E37" s="13"/>
      <c r="F37" s="14"/>
      <c r="G37" s="30"/>
      <c r="H37" s="14"/>
      <c r="I37" s="29"/>
      <c r="J37" s="21"/>
      <c r="K37" s="22"/>
      <c r="L37" s="28"/>
      <c r="M37" s="28"/>
      <c r="N37" s="119"/>
      <c r="P37" s="453" t="str">
        <f t="shared" si="7"/>
        <v/>
      </c>
      <c r="Q37" s="263">
        <f t="shared" si="8"/>
        <v>0</v>
      </c>
      <c r="R37" s="263">
        <f t="shared" si="0"/>
        <v>0</v>
      </c>
      <c r="S37" s="263">
        <f t="shared" si="9"/>
        <v>0</v>
      </c>
      <c r="T37" s="263">
        <f t="shared" si="1"/>
        <v>0</v>
      </c>
      <c r="U37" s="263">
        <f>IF(D37="",0,IF(D37=D36,-1,0))</f>
        <v>0</v>
      </c>
      <c r="V37" s="423">
        <f t="shared" si="10"/>
        <v>0</v>
      </c>
      <c r="W37" s="423">
        <f>SUM($V$22:V37)</f>
        <v>0</v>
      </c>
      <c r="X37" s="454">
        <f t="shared" si="2"/>
        <v>0</v>
      </c>
      <c r="Y37" s="263">
        <f t="shared" si="3"/>
        <v>0</v>
      </c>
      <c r="Z37" s="263">
        <f t="shared" si="4"/>
        <v>0</v>
      </c>
      <c r="AA37" s="454">
        <f t="shared" si="5"/>
        <v>0</v>
      </c>
      <c r="AB37" s="454">
        <f t="shared" si="6"/>
        <v>0</v>
      </c>
      <c r="AC37" s="263">
        <f t="shared" si="11"/>
        <v>0</v>
      </c>
    </row>
    <row r="38" spans="2:29" s="62" customFormat="1" x14ac:dyDescent="0.35">
      <c r="B38" s="118"/>
      <c r="C38" s="451">
        <v>17</v>
      </c>
      <c r="D38" s="654"/>
      <c r="E38" s="13"/>
      <c r="F38" s="14"/>
      <c r="G38" s="30"/>
      <c r="H38" s="14"/>
      <c r="I38" s="29"/>
      <c r="J38" s="21"/>
      <c r="K38" s="22"/>
      <c r="L38" s="28"/>
      <c r="M38" s="28"/>
      <c r="N38" s="119"/>
      <c r="P38" s="453" t="str">
        <f t="shared" si="7"/>
        <v/>
      </c>
      <c r="Q38" s="263">
        <f t="shared" si="8"/>
        <v>0</v>
      </c>
      <c r="R38" s="263">
        <f t="shared" si="0"/>
        <v>0</v>
      </c>
      <c r="S38" s="263">
        <f t="shared" si="9"/>
        <v>0</v>
      </c>
      <c r="T38" s="263">
        <f t="shared" si="1"/>
        <v>0</v>
      </c>
      <c r="U38" s="263">
        <f t="shared" si="12"/>
        <v>0</v>
      </c>
      <c r="V38" s="423">
        <f t="shared" si="10"/>
        <v>0</v>
      </c>
      <c r="W38" s="423">
        <f>SUM($V$22:V38)</f>
        <v>0</v>
      </c>
      <c r="X38" s="454">
        <f t="shared" si="2"/>
        <v>0</v>
      </c>
      <c r="Y38" s="263">
        <f t="shared" si="3"/>
        <v>0</v>
      </c>
      <c r="Z38" s="263">
        <f t="shared" si="4"/>
        <v>0</v>
      </c>
      <c r="AA38" s="454">
        <f t="shared" si="5"/>
        <v>0</v>
      </c>
      <c r="AB38" s="454">
        <f t="shared" si="6"/>
        <v>0</v>
      </c>
      <c r="AC38" s="263">
        <f t="shared" si="11"/>
        <v>0</v>
      </c>
    </row>
    <row r="39" spans="2:29" s="62" customFormat="1" x14ac:dyDescent="0.35">
      <c r="B39" s="118"/>
      <c r="C39" s="451">
        <v>18</v>
      </c>
      <c r="D39" s="654"/>
      <c r="E39" s="13"/>
      <c r="F39" s="14"/>
      <c r="G39" s="30"/>
      <c r="H39" s="14"/>
      <c r="I39" s="29"/>
      <c r="J39" s="21"/>
      <c r="K39" s="22"/>
      <c r="L39" s="28"/>
      <c r="M39" s="28"/>
      <c r="N39" s="119"/>
      <c r="P39" s="453" t="str">
        <f t="shared" si="7"/>
        <v/>
      </c>
      <c r="Q39" s="263">
        <f t="shared" si="8"/>
        <v>0</v>
      </c>
      <c r="R39" s="263">
        <f t="shared" si="0"/>
        <v>0</v>
      </c>
      <c r="S39" s="263">
        <f t="shared" si="9"/>
        <v>0</v>
      </c>
      <c r="T39" s="263">
        <f t="shared" si="1"/>
        <v>0</v>
      </c>
      <c r="U39" s="263">
        <f t="shared" si="12"/>
        <v>0</v>
      </c>
      <c r="V39" s="423">
        <f t="shared" si="10"/>
        <v>0</v>
      </c>
      <c r="W39" s="423">
        <f>SUM($V$22:V39)</f>
        <v>0</v>
      </c>
      <c r="X39" s="454">
        <f t="shared" si="2"/>
        <v>0</v>
      </c>
      <c r="Y39" s="263">
        <f t="shared" si="3"/>
        <v>0</v>
      </c>
      <c r="Z39" s="263">
        <f t="shared" si="4"/>
        <v>0</v>
      </c>
      <c r="AA39" s="454">
        <f t="shared" si="5"/>
        <v>0</v>
      </c>
      <c r="AB39" s="454">
        <f t="shared" si="6"/>
        <v>0</v>
      </c>
      <c r="AC39" s="263">
        <f t="shared" si="11"/>
        <v>0</v>
      </c>
    </row>
    <row r="40" spans="2:29" s="62" customFormat="1" x14ac:dyDescent="0.35">
      <c r="B40" s="118"/>
      <c r="C40" s="451">
        <v>19</v>
      </c>
      <c r="D40" s="654"/>
      <c r="E40" s="13"/>
      <c r="F40" s="14"/>
      <c r="G40" s="30"/>
      <c r="H40" s="14"/>
      <c r="I40" s="29"/>
      <c r="J40" s="21"/>
      <c r="K40" s="22"/>
      <c r="L40" s="28"/>
      <c r="M40" s="28"/>
      <c r="N40" s="119"/>
      <c r="P40" s="453" t="str">
        <f t="shared" si="7"/>
        <v/>
      </c>
      <c r="Q40" s="263">
        <f t="shared" si="8"/>
        <v>0</v>
      </c>
      <c r="R40" s="263">
        <f t="shared" si="0"/>
        <v>0</v>
      </c>
      <c r="S40" s="263">
        <f t="shared" si="9"/>
        <v>0</v>
      </c>
      <c r="T40" s="263">
        <f t="shared" si="1"/>
        <v>0</v>
      </c>
      <c r="U40" s="263">
        <f t="shared" si="12"/>
        <v>0</v>
      </c>
      <c r="V40" s="423">
        <f t="shared" si="10"/>
        <v>0</v>
      </c>
      <c r="W40" s="423">
        <f>SUM($V$22:V40)</f>
        <v>0</v>
      </c>
      <c r="X40" s="454">
        <f t="shared" si="2"/>
        <v>0</v>
      </c>
      <c r="Y40" s="263">
        <f t="shared" si="3"/>
        <v>0</v>
      </c>
      <c r="Z40" s="263">
        <f t="shared" si="4"/>
        <v>0</v>
      </c>
      <c r="AA40" s="454">
        <f t="shared" si="5"/>
        <v>0</v>
      </c>
      <c r="AB40" s="454">
        <f t="shared" si="6"/>
        <v>0</v>
      </c>
      <c r="AC40" s="263">
        <f t="shared" si="11"/>
        <v>0</v>
      </c>
    </row>
    <row r="41" spans="2:29" s="62" customFormat="1" x14ac:dyDescent="0.35">
      <c r="B41" s="118"/>
      <c r="C41" s="451">
        <v>20</v>
      </c>
      <c r="D41" s="654"/>
      <c r="E41" s="13"/>
      <c r="F41" s="14"/>
      <c r="G41" s="30"/>
      <c r="H41" s="14"/>
      <c r="I41" s="29"/>
      <c r="J41" s="21"/>
      <c r="K41" s="22"/>
      <c r="L41" s="28"/>
      <c r="M41" s="28"/>
      <c r="N41" s="119"/>
      <c r="P41" s="453" t="str">
        <f t="shared" si="7"/>
        <v/>
      </c>
      <c r="Q41" s="263">
        <f t="shared" si="8"/>
        <v>0</v>
      </c>
      <c r="R41" s="263">
        <f t="shared" si="0"/>
        <v>0</v>
      </c>
      <c r="S41" s="263">
        <f t="shared" si="9"/>
        <v>0</v>
      </c>
      <c r="T41" s="263">
        <f t="shared" si="1"/>
        <v>0</v>
      </c>
      <c r="U41" s="263">
        <f t="shared" si="12"/>
        <v>0</v>
      </c>
      <c r="V41" s="423">
        <f t="shared" si="10"/>
        <v>0</v>
      </c>
      <c r="W41" s="423">
        <f>SUM($V$22:V41)</f>
        <v>0</v>
      </c>
      <c r="X41" s="454">
        <f t="shared" si="2"/>
        <v>0</v>
      </c>
      <c r="Y41" s="263">
        <f t="shared" si="3"/>
        <v>0</v>
      </c>
      <c r="Z41" s="263">
        <f t="shared" si="4"/>
        <v>0</v>
      </c>
      <c r="AA41" s="454">
        <f t="shared" si="5"/>
        <v>0</v>
      </c>
      <c r="AB41" s="454">
        <f t="shared" si="6"/>
        <v>0</v>
      </c>
      <c r="AC41" s="263">
        <f t="shared" si="11"/>
        <v>0</v>
      </c>
    </row>
    <row r="42" spans="2:29" s="62" customFormat="1" x14ac:dyDescent="0.35">
      <c r="B42" s="118"/>
      <c r="C42" s="451">
        <v>21</v>
      </c>
      <c r="D42" s="654"/>
      <c r="E42" s="13"/>
      <c r="F42" s="14"/>
      <c r="G42" s="30"/>
      <c r="H42" s="14"/>
      <c r="I42" s="29"/>
      <c r="J42" s="21"/>
      <c r="K42" s="22"/>
      <c r="L42" s="28"/>
      <c r="M42" s="28"/>
      <c r="N42" s="119"/>
      <c r="P42" s="453" t="str">
        <f t="shared" si="7"/>
        <v/>
      </c>
      <c r="Q42" s="263">
        <f t="shared" si="8"/>
        <v>0</v>
      </c>
      <c r="R42" s="263">
        <f t="shared" si="0"/>
        <v>0</v>
      </c>
      <c r="S42" s="263">
        <f t="shared" si="9"/>
        <v>0</v>
      </c>
      <c r="T42" s="263">
        <f t="shared" si="1"/>
        <v>0</v>
      </c>
      <c r="U42" s="263">
        <f t="shared" si="12"/>
        <v>0</v>
      </c>
      <c r="V42" s="423">
        <f t="shared" si="10"/>
        <v>0</v>
      </c>
      <c r="W42" s="423">
        <f>SUM($V$22:V42)</f>
        <v>0</v>
      </c>
      <c r="X42" s="454">
        <f t="shared" si="2"/>
        <v>0</v>
      </c>
      <c r="Y42" s="263">
        <f t="shared" si="3"/>
        <v>0</v>
      </c>
      <c r="Z42" s="263">
        <f t="shared" si="4"/>
        <v>0</v>
      </c>
      <c r="AA42" s="454">
        <f t="shared" si="5"/>
        <v>0</v>
      </c>
      <c r="AB42" s="454">
        <f t="shared" si="6"/>
        <v>0</v>
      </c>
      <c r="AC42" s="263">
        <f t="shared" si="11"/>
        <v>0</v>
      </c>
    </row>
    <row r="43" spans="2:29" s="62" customFormat="1" x14ac:dyDescent="0.35">
      <c r="B43" s="118"/>
      <c r="C43" s="451">
        <v>22</v>
      </c>
      <c r="D43" s="654"/>
      <c r="E43" s="13"/>
      <c r="F43" s="14"/>
      <c r="G43" s="30"/>
      <c r="H43" s="14"/>
      <c r="I43" s="29"/>
      <c r="J43" s="21"/>
      <c r="K43" s="22"/>
      <c r="L43" s="28"/>
      <c r="M43" s="28"/>
      <c r="N43" s="119"/>
      <c r="P43" s="453" t="str">
        <f t="shared" si="7"/>
        <v/>
      </c>
      <c r="Q43" s="263">
        <f t="shared" si="8"/>
        <v>0</v>
      </c>
      <c r="R43" s="263">
        <f t="shared" si="0"/>
        <v>0</v>
      </c>
      <c r="S43" s="263">
        <f t="shared" si="9"/>
        <v>0</v>
      </c>
      <c r="T43" s="263">
        <f t="shared" si="1"/>
        <v>0</v>
      </c>
      <c r="U43" s="263">
        <f t="shared" si="12"/>
        <v>0</v>
      </c>
      <c r="V43" s="423">
        <f t="shared" si="10"/>
        <v>0</v>
      </c>
      <c r="W43" s="423">
        <f>SUM($V$22:V43)</f>
        <v>0</v>
      </c>
      <c r="X43" s="454">
        <f t="shared" si="2"/>
        <v>0</v>
      </c>
      <c r="Y43" s="263">
        <f t="shared" si="3"/>
        <v>0</v>
      </c>
      <c r="Z43" s="263">
        <f t="shared" si="4"/>
        <v>0</v>
      </c>
      <c r="AA43" s="454">
        <f t="shared" si="5"/>
        <v>0</v>
      </c>
      <c r="AB43" s="454">
        <f t="shared" si="6"/>
        <v>0</v>
      </c>
      <c r="AC43" s="263">
        <f t="shared" si="11"/>
        <v>0</v>
      </c>
    </row>
    <row r="44" spans="2:29" s="62" customFormat="1" x14ac:dyDescent="0.35">
      <c r="B44" s="118"/>
      <c r="C44" s="451">
        <v>23</v>
      </c>
      <c r="D44" s="654"/>
      <c r="E44" s="13"/>
      <c r="F44" s="14"/>
      <c r="G44" s="30"/>
      <c r="H44" s="14"/>
      <c r="I44" s="29"/>
      <c r="J44" s="21"/>
      <c r="K44" s="22"/>
      <c r="L44" s="28"/>
      <c r="M44" s="28"/>
      <c r="N44" s="119"/>
      <c r="P44" s="453" t="str">
        <f t="shared" si="7"/>
        <v/>
      </c>
      <c r="Q44" s="263">
        <f t="shared" si="8"/>
        <v>0</v>
      </c>
      <c r="R44" s="263">
        <f t="shared" si="0"/>
        <v>0</v>
      </c>
      <c r="S44" s="263">
        <f t="shared" si="9"/>
        <v>0</v>
      </c>
      <c r="T44" s="263">
        <f t="shared" si="1"/>
        <v>0</v>
      </c>
      <c r="U44" s="263">
        <f t="shared" si="12"/>
        <v>0</v>
      </c>
      <c r="V44" s="423">
        <f t="shared" si="10"/>
        <v>0</v>
      </c>
      <c r="W44" s="423">
        <f>SUM($V$22:V44)</f>
        <v>0</v>
      </c>
      <c r="X44" s="454">
        <f t="shared" si="2"/>
        <v>0</v>
      </c>
      <c r="Y44" s="263">
        <f t="shared" si="3"/>
        <v>0</v>
      </c>
      <c r="Z44" s="263">
        <f t="shared" si="4"/>
        <v>0</v>
      </c>
      <c r="AA44" s="454">
        <f t="shared" si="5"/>
        <v>0</v>
      </c>
      <c r="AB44" s="454">
        <f t="shared" si="6"/>
        <v>0</v>
      </c>
      <c r="AC44" s="263">
        <f t="shared" si="11"/>
        <v>0</v>
      </c>
    </row>
    <row r="45" spans="2:29" s="62" customFormat="1" x14ac:dyDescent="0.35">
      <c r="B45" s="118"/>
      <c r="C45" s="451">
        <v>24</v>
      </c>
      <c r="D45" s="654"/>
      <c r="E45" s="13"/>
      <c r="F45" s="14"/>
      <c r="G45" s="30"/>
      <c r="H45" s="14"/>
      <c r="I45" s="29"/>
      <c r="J45" s="21"/>
      <c r="K45" s="22"/>
      <c r="L45" s="28"/>
      <c r="M45" s="28"/>
      <c r="N45" s="119"/>
      <c r="P45" s="453" t="str">
        <f t="shared" si="7"/>
        <v/>
      </c>
      <c r="Q45" s="263">
        <f t="shared" si="8"/>
        <v>0</v>
      </c>
      <c r="R45" s="263">
        <f t="shared" si="0"/>
        <v>0</v>
      </c>
      <c r="S45" s="263">
        <f t="shared" si="9"/>
        <v>0</v>
      </c>
      <c r="T45" s="263">
        <f t="shared" si="1"/>
        <v>0</v>
      </c>
      <c r="U45" s="263">
        <f t="shared" si="12"/>
        <v>0</v>
      </c>
      <c r="V45" s="423">
        <f t="shared" si="10"/>
        <v>0</v>
      </c>
      <c r="W45" s="423">
        <f>SUM($V$22:V45)</f>
        <v>0</v>
      </c>
      <c r="X45" s="454">
        <f t="shared" si="2"/>
        <v>0</v>
      </c>
      <c r="Y45" s="263">
        <f t="shared" si="3"/>
        <v>0</v>
      </c>
      <c r="Z45" s="263">
        <f t="shared" si="4"/>
        <v>0</v>
      </c>
      <c r="AA45" s="454">
        <f t="shared" si="5"/>
        <v>0</v>
      </c>
      <c r="AB45" s="454">
        <f t="shared" si="6"/>
        <v>0</v>
      </c>
      <c r="AC45" s="263">
        <f t="shared" si="11"/>
        <v>0</v>
      </c>
    </row>
    <row r="46" spans="2:29" s="62" customFormat="1" x14ac:dyDescent="0.35">
      <c r="B46" s="118"/>
      <c r="C46" s="451">
        <v>25</v>
      </c>
      <c r="D46" s="654"/>
      <c r="E46" s="13"/>
      <c r="F46" s="14"/>
      <c r="G46" s="30"/>
      <c r="H46" s="14"/>
      <c r="I46" s="29"/>
      <c r="J46" s="21"/>
      <c r="K46" s="22"/>
      <c r="L46" s="28"/>
      <c r="M46" s="28"/>
      <c r="N46" s="119"/>
      <c r="P46" s="453" t="str">
        <f t="shared" si="7"/>
        <v/>
      </c>
      <c r="Q46" s="263">
        <f t="shared" si="8"/>
        <v>0</v>
      </c>
      <c r="R46" s="263">
        <f t="shared" si="0"/>
        <v>0</v>
      </c>
      <c r="S46" s="263">
        <f t="shared" si="9"/>
        <v>0</v>
      </c>
      <c r="T46" s="263">
        <f t="shared" si="1"/>
        <v>0</v>
      </c>
      <c r="U46" s="263">
        <f t="shared" si="12"/>
        <v>0</v>
      </c>
      <c r="V46" s="423">
        <f t="shared" si="10"/>
        <v>0</v>
      </c>
      <c r="W46" s="423">
        <f>SUM($V$22:V46)</f>
        <v>0</v>
      </c>
      <c r="X46" s="454">
        <f t="shared" si="2"/>
        <v>0</v>
      </c>
      <c r="Y46" s="263">
        <f t="shared" si="3"/>
        <v>0</v>
      </c>
      <c r="Z46" s="263">
        <f t="shared" si="4"/>
        <v>0</v>
      </c>
      <c r="AA46" s="454">
        <f t="shared" si="5"/>
        <v>0</v>
      </c>
      <c r="AB46" s="454">
        <f t="shared" si="6"/>
        <v>0</v>
      </c>
      <c r="AC46" s="263">
        <f t="shared" si="11"/>
        <v>0</v>
      </c>
    </row>
    <row r="47" spans="2:29" s="62" customFormat="1" x14ac:dyDescent="0.35">
      <c r="B47" s="118"/>
      <c r="C47" s="451">
        <v>26</v>
      </c>
      <c r="D47" s="654"/>
      <c r="E47" s="13"/>
      <c r="F47" s="14"/>
      <c r="G47" s="30"/>
      <c r="H47" s="14"/>
      <c r="I47" s="29"/>
      <c r="J47" s="21"/>
      <c r="K47" s="22"/>
      <c r="L47" s="28"/>
      <c r="M47" s="28"/>
      <c r="N47" s="119"/>
      <c r="P47" s="453" t="str">
        <f t="shared" si="7"/>
        <v/>
      </c>
      <c r="Q47" s="263">
        <f t="shared" si="8"/>
        <v>0</v>
      </c>
      <c r="R47" s="263">
        <f t="shared" si="0"/>
        <v>0</v>
      </c>
      <c r="S47" s="263">
        <f t="shared" si="9"/>
        <v>0</v>
      </c>
      <c r="T47" s="263">
        <f t="shared" si="1"/>
        <v>0</v>
      </c>
      <c r="U47" s="263">
        <f t="shared" si="12"/>
        <v>0</v>
      </c>
      <c r="V47" s="423">
        <f t="shared" si="10"/>
        <v>0</v>
      </c>
      <c r="W47" s="423">
        <f>SUM($V$22:V47)</f>
        <v>0</v>
      </c>
      <c r="X47" s="454">
        <f t="shared" si="2"/>
        <v>0</v>
      </c>
      <c r="Y47" s="263">
        <f t="shared" si="3"/>
        <v>0</v>
      </c>
      <c r="Z47" s="263">
        <f t="shared" si="4"/>
        <v>0</v>
      </c>
      <c r="AA47" s="454">
        <f t="shared" si="5"/>
        <v>0</v>
      </c>
      <c r="AB47" s="454">
        <f t="shared" si="6"/>
        <v>0</v>
      </c>
      <c r="AC47" s="263">
        <f t="shared" si="11"/>
        <v>0</v>
      </c>
    </row>
    <row r="48" spans="2:29" s="62" customFormat="1" x14ac:dyDescent="0.35">
      <c r="B48" s="118"/>
      <c r="C48" s="451">
        <v>27</v>
      </c>
      <c r="D48" s="654"/>
      <c r="E48" s="13"/>
      <c r="F48" s="14"/>
      <c r="G48" s="30"/>
      <c r="H48" s="14"/>
      <c r="I48" s="29"/>
      <c r="J48" s="21"/>
      <c r="K48" s="22"/>
      <c r="L48" s="28"/>
      <c r="M48" s="28"/>
      <c r="N48" s="119"/>
      <c r="P48" s="453" t="str">
        <f t="shared" si="7"/>
        <v/>
      </c>
      <c r="Q48" s="263">
        <f t="shared" si="8"/>
        <v>0</v>
      </c>
      <c r="R48" s="263">
        <f t="shared" si="0"/>
        <v>0</v>
      </c>
      <c r="S48" s="263">
        <f t="shared" si="9"/>
        <v>0</v>
      </c>
      <c r="T48" s="263">
        <f t="shared" si="1"/>
        <v>0</v>
      </c>
      <c r="U48" s="263">
        <f t="shared" si="12"/>
        <v>0</v>
      </c>
      <c r="V48" s="423">
        <f t="shared" si="10"/>
        <v>0</v>
      </c>
      <c r="W48" s="423">
        <f>SUM($V$22:V48)</f>
        <v>0</v>
      </c>
      <c r="X48" s="454">
        <f t="shared" si="2"/>
        <v>0</v>
      </c>
      <c r="Y48" s="263">
        <f t="shared" si="3"/>
        <v>0</v>
      </c>
      <c r="Z48" s="263">
        <f t="shared" si="4"/>
        <v>0</v>
      </c>
      <c r="AA48" s="454">
        <f t="shared" si="5"/>
        <v>0</v>
      </c>
      <c r="AB48" s="454">
        <f t="shared" si="6"/>
        <v>0</v>
      </c>
      <c r="AC48" s="263">
        <f t="shared" si="11"/>
        <v>0</v>
      </c>
    </row>
    <row r="49" spans="2:29" s="62" customFormat="1" x14ac:dyDescent="0.35">
      <c r="B49" s="118"/>
      <c r="C49" s="451">
        <v>28</v>
      </c>
      <c r="D49" s="654"/>
      <c r="E49" s="13"/>
      <c r="F49" s="14"/>
      <c r="G49" s="30"/>
      <c r="H49" s="14"/>
      <c r="I49" s="29"/>
      <c r="J49" s="21"/>
      <c r="K49" s="22"/>
      <c r="L49" s="28"/>
      <c r="M49" s="28"/>
      <c r="N49" s="119"/>
      <c r="P49" s="453" t="str">
        <f t="shared" si="7"/>
        <v/>
      </c>
      <c r="Q49" s="263">
        <f t="shared" si="8"/>
        <v>0</v>
      </c>
      <c r="R49" s="263">
        <f t="shared" si="0"/>
        <v>0</v>
      </c>
      <c r="S49" s="263">
        <f t="shared" si="9"/>
        <v>0</v>
      </c>
      <c r="T49" s="263">
        <f t="shared" si="1"/>
        <v>0</v>
      </c>
      <c r="U49" s="263">
        <f t="shared" si="12"/>
        <v>0</v>
      </c>
      <c r="V49" s="423">
        <f t="shared" si="10"/>
        <v>0</v>
      </c>
      <c r="W49" s="423">
        <f>SUM($V$22:V49)</f>
        <v>0</v>
      </c>
      <c r="X49" s="454">
        <f t="shared" si="2"/>
        <v>0</v>
      </c>
      <c r="Y49" s="263">
        <f t="shared" si="3"/>
        <v>0</v>
      </c>
      <c r="Z49" s="263">
        <f t="shared" si="4"/>
        <v>0</v>
      </c>
      <c r="AA49" s="454">
        <f t="shared" si="5"/>
        <v>0</v>
      </c>
      <c r="AB49" s="454">
        <f t="shared" si="6"/>
        <v>0</v>
      </c>
      <c r="AC49" s="263">
        <f t="shared" si="11"/>
        <v>0</v>
      </c>
    </row>
    <row r="50" spans="2:29" s="62" customFormat="1" x14ac:dyDescent="0.35">
      <c r="B50" s="118"/>
      <c r="C50" s="451">
        <v>29</v>
      </c>
      <c r="D50" s="654"/>
      <c r="E50" s="13"/>
      <c r="F50" s="14"/>
      <c r="G50" s="30"/>
      <c r="H50" s="14"/>
      <c r="I50" s="29"/>
      <c r="J50" s="21"/>
      <c r="K50" s="22"/>
      <c r="L50" s="28"/>
      <c r="M50" s="28"/>
      <c r="N50" s="119"/>
      <c r="P50" s="453" t="str">
        <f t="shared" si="7"/>
        <v/>
      </c>
      <c r="Q50" s="263">
        <f t="shared" si="8"/>
        <v>0</v>
      </c>
      <c r="R50" s="263">
        <f t="shared" si="0"/>
        <v>0</v>
      </c>
      <c r="S50" s="263">
        <f t="shared" si="9"/>
        <v>0</v>
      </c>
      <c r="T50" s="263">
        <f t="shared" si="1"/>
        <v>0</v>
      </c>
      <c r="U50" s="263">
        <f t="shared" si="12"/>
        <v>0</v>
      </c>
      <c r="V50" s="423">
        <f t="shared" si="10"/>
        <v>0</v>
      </c>
      <c r="W50" s="423">
        <f>SUM($V$22:V50)</f>
        <v>0</v>
      </c>
      <c r="X50" s="454">
        <f t="shared" si="2"/>
        <v>0</v>
      </c>
      <c r="Y50" s="263">
        <f t="shared" si="3"/>
        <v>0</v>
      </c>
      <c r="Z50" s="263">
        <f t="shared" si="4"/>
        <v>0</v>
      </c>
      <c r="AA50" s="454">
        <f t="shared" si="5"/>
        <v>0</v>
      </c>
      <c r="AB50" s="454">
        <f t="shared" si="6"/>
        <v>0</v>
      </c>
      <c r="AC50" s="263">
        <f t="shared" si="11"/>
        <v>0</v>
      </c>
    </row>
    <row r="51" spans="2:29" s="62" customFormat="1" x14ac:dyDescent="0.35">
      <c r="B51" s="118"/>
      <c r="C51" s="451">
        <v>30</v>
      </c>
      <c r="D51" s="654"/>
      <c r="E51" s="13"/>
      <c r="F51" s="14"/>
      <c r="G51" s="30"/>
      <c r="H51" s="14"/>
      <c r="I51" s="29"/>
      <c r="J51" s="21"/>
      <c r="K51" s="22"/>
      <c r="L51" s="28"/>
      <c r="M51" s="28"/>
      <c r="N51" s="119"/>
      <c r="P51" s="453" t="str">
        <f t="shared" si="7"/>
        <v/>
      </c>
      <c r="Q51" s="263">
        <f t="shared" si="8"/>
        <v>0</v>
      </c>
      <c r="R51" s="263">
        <f t="shared" si="0"/>
        <v>0</v>
      </c>
      <c r="S51" s="263">
        <f t="shared" si="9"/>
        <v>0</v>
      </c>
      <c r="T51" s="263">
        <f t="shared" si="1"/>
        <v>0</v>
      </c>
      <c r="U51" s="263">
        <f t="shared" si="12"/>
        <v>0</v>
      </c>
      <c r="V51" s="423">
        <f t="shared" si="10"/>
        <v>0</v>
      </c>
      <c r="W51" s="423">
        <f>SUM($V$22:V51)</f>
        <v>0</v>
      </c>
      <c r="X51" s="454">
        <f t="shared" si="2"/>
        <v>0</v>
      </c>
      <c r="Y51" s="263">
        <f t="shared" si="3"/>
        <v>0</v>
      </c>
      <c r="Z51" s="263">
        <f t="shared" si="4"/>
        <v>0</v>
      </c>
      <c r="AA51" s="454">
        <f t="shared" si="5"/>
        <v>0</v>
      </c>
      <c r="AB51" s="454">
        <f t="shared" si="6"/>
        <v>0</v>
      </c>
      <c r="AC51" s="263">
        <f t="shared" si="11"/>
        <v>0</v>
      </c>
    </row>
    <row r="52" spans="2:29" s="62" customFormat="1" x14ac:dyDescent="0.35">
      <c r="B52" s="118"/>
      <c r="C52" s="451">
        <v>31</v>
      </c>
      <c r="D52" s="654"/>
      <c r="E52" s="13"/>
      <c r="F52" s="14"/>
      <c r="G52" s="30"/>
      <c r="H52" s="14"/>
      <c r="I52" s="29"/>
      <c r="J52" s="21"/>
      <c r="K52" s="22"/>
      <c r="L52" s="28"/>
      <c r="M52" s="28"/>
      <c r="N52" s="119"/>
      <c r="P52" s="453" t="str">
        <f t="shared" si="7"/>
        <v/>
      </c>
      <c r="Q52" s="263">
        <f t="shared" si="8"/>
        <v>0</v>
      </c>
      <c r="R52" s="263">
        <f t="shared" si="0"/>
        <v>0</v>
      </c>
      <c r="S52" s="263">
        <f t="shared" si="9"/>
        <v>0</v>
      </c>
      <c r="T52" s="263">
        <f t="shared" si="1"/>
        <v>0</v>
      </c>
      <c r="U52" s="263">
        <f t="shared" si="12"/>
        <v>0</v>
      </c>
      <c r="V52" s="423">
        <f t="shared" si="10"/>
        <v>0</v>
      </c>
      <c r="W52" s="423">
        <f>SUM($V$22:V52)</f>
        <v>0</v>
      </c>
      <c r="X52" s="454">
        <f t="shared" si="2"/>
        <v>0</v>
      </c>
      <c r="Y52" s="263">
        <f t="shared" si="3"/>
        <v>0</v>
      </c>
      <c r="Z52" s="263">
        <f t="shared" si="4"/>
        <v>0</v>
      </c>
      <c r="AA52" s="454">
        <f t="shared" si="5"/>
        <v>0</v>
      </c>
      <c r="AB52" s="454">
        <f t="shared" si="6"/>
        <v>0</v>
      </c>
      <c r="AC52" s="263">
        <f t="shared" si="11"/>
        <v>0</v>
      </c>
    </row>
    <row r="53" spans="2:29" s="62" customFormat="1" x14ac:dyDescent="0.35">
      <c r="B53" s="118"/>
      <c r="C53" s="451">
        <v>32</v>
      </c>
      <c r="D53" s="654"/>
      <c r="E53" s="13"/>
      <c r="F53" s="14"/>
      <c r="G53" s="30"/>
      <c r="H53" s="14"/>
      <c r="I53" s="29"/>
      <c r="J53" s="21"/>
      <c r="K53" s="22"/>
      <c r="L53" s="28"/>
      <c r="M53" s="28"/>
      <c r="N53" s="119"/>
      <c r="P53" s="453" t="str">
        <f t="shared" si="7"/>
        <v/>
      </c>
      <c r="Q53" s="263">
        <f t="shared" si="8"/>
        <v>0</v>
      </c>
      <c r="R53" s="263">
        <f t="shared" si="0"/>
        <v>0</v>
      </c>
      <c r="S53" s="263">
        <f t="shared" si="9"/>
        <v>0</v>
      </c>
      <c r="T53" s="263">
        <f t="shared" si="1"/>
        <v>0</v>
      </c>
      <c r="U53" s="263">
        <f t="shared" si="12"/>
        <v>0</v>
      </c>
      <c r="V53" s="423">
        <f t="shared" si="10"/>
        <v>0</v>
      </c>
      <c r="W53" s="423">
        <f>SUM($V$22:V53)</f>
        <v>0</v>
      </c>
      <c r="X53" s="454">
        <f t="shared" si="2"/>
        <v>0</v>
      </c>
      <c r="Y53" s="263">
        <f t="shared" si="3"/>
        <v>0</v>
      </c>
      <c r="Z53" s="263">
        <f t="shared" si="4"/>
        <v>0</v>
      </c>
      <c r="AA53" s="454">
        <f t="shared" si="5"/>
        <v>0</v>
      </c>
      <c r="AB53" s="454">
        <f t="shared" si="6"/>
        <v>0</v>
      </c>
      <c r="AC53" s="263">
        <f t="shared" si="11"/>
        <v>0</v>
      </c>
    </row>
    <row r="54" spans="2:29" s="62" customFormat="1" x14ac:dyDescent="0.35">
      <c r="B54" s="118"/>
      <c r="C54" s="451">
        <v>33</v>
      </c>
      <c r="D54" s="654"/>
      <c r="E54" s="13"/>
      <c r="F54" s="14"/>
      <c r="G54" s="30"/>
      <c r="H54" s="14"/>
      <c r="I54" s="29"/>
      <c r="J54" s="21"/>
      <c r="K54" s="22"/>
      <c r="L54" s="28"/>
      <c r="M54" s="28"/>
      <c r="N54" s="119"/>
      <c r="P54" s="453" t="str">
        <f t="shared" si="7"/>
        <v/>
      </c>
      <c r="Q54" s="263">
        <f t="shared" ref="Q54:Q71" si="13">IF(C54=1,1,0)</f>
        <v>0</v>
      </c>
      <c r="R54" s="263">
        <f t="shared" ref="R54:R71" si="14">IF(D54="",0,1)</f>
        <v>0</v>
      </c>
      <c r="S54" s="263">
        <f t="shared" si="9"/>
        <v>0</v>
      </c>
      <c r="T54" s="263">
        <f t="shared" ref="T54:T71" si="15">IF(AND(D54&lt;&gt;"",D55=""),1,0)</f>
        <v>0</v>
      </c>
      <c r="U54" s="263">
        <f t="shared" si="12"/>
        <v>0</v>
      </c>
      <c r="V54" s="423">
        <f t="shared" si="10"/>
        <v>0</v>
      </c>
      <c r="W54" s="423">
        <f>SUM($V$22:V54)</f>
        <v>0</v>
      </c>
      <c r="X54" s="454">
        <f t="shared" ref="X54:X71" si="16">IF(H54="oui",80,IF(H54="non",140,0))</f>
        <v>0</v>
      </c>
      <c r="Y54" s="263">
        <f t="shared" ref="Y54:Y71" si="17">IF(AND(H54="oui",W54&lt;=30),R54,0)</f>
        <v>0</v>
      </c>
      <c r="Z54" s="263">
        <f t="shared" ref="Z54:Z71" si="18">IF(AND(H54="non",W54&lt;=30),SUM(Q54,R54,S54,T54,U54),IF(AND(H54="oui",W54&lt;=30),SUM(Q54,S54,T54,U54),0))</f>
        <v>0</v>
      </c>
      <c r="AA54" s="454">
        <f t="shared" ref="AA54:AA71" si="19">IF(H54="oui",((140*Q54)+(80*R54)+(140*S54)+(140*T54)),0)</f>
        <v>0</v>
      </c>
      <c r="AB54" s="454">
        <f t="shared" ref="AB54:AB71" si="20">IF(H54="non",((X54*Q54)+(X54*R54)+(X54*S54)+(X54*T54)),0)</f>
        <v>0</v>
      </c>
      <c r="AC54" s="263">
        <f t="shared" si="11"/>
        <v>0</v>
      </c>
    </row>
    <row r="55" spans="2:29" s="62" customFormat="1" x14ac:dyDescent="0.35">
      <c r="B55" s="118"/>
      <c r="C55" s="451">
        <v>34</v>
      </c>
      <c r="D55" s="654"/>
      <c r="E55" s="13"/>
      <c r="F55" s="14"/>
      <c r="G55" s="30"/>
      <c r="H55" s="14"/>
      <c r="I55" s="29"/>
      <c r="J55" s="21"/>
      <c r="K55" s="22"/>
      <c r="L55" s="28"/>
      <c r="M55" s="28"/>
      <c r="N55" s="119"/>
      <c r="P55" s="453" t="str">
        <f t="shared" si="7"/>
        <v/>
      </c>
      <c r="Q55" s="263">
        <f t="shared" si="13"/>
        <v>0</v>
      </c>
      <c r="R55" s="263">
        <f t="shared" si="14"/>
        <v>0</v>
      </c>
      <c r="S55" s="263">
        <f t="shared" si="9"/>
        <v>0</v>
      </c>
      <c r="T55" s="263">
        <f t="shared" si="15"/>
        <v>0</v>
      </c>
      <c r="U55" s="263">
        <f t="shared" si="12"/>
        <v>0</v>
      </c>
      <c r="V55" s="423">
        <f t="shared" si="10"/>
        <v>0</v>
      </c>
      <c r="W55" s="423">
        <f>SUM($V$22:V55)</f>
        <v>0</v>
      </c>
      <c r="X55" s="454">
        <f t="shared" si="16"/>
        <v>0</v>
      </c>
      <c r="Y55" s="263">
        <f t="shared" si="17"/>
        <v>0</v>
      </c>
      <c r="Z55" s="263">
        <f t="shared" si="18"/>
        <v>0</v>
      </c>
      <c r="AA55" s="454">
        <f t="shared" si="19"/>
        <v>0</v>
      </c>
      <c r="AB55" s="454">
        <f t="shared" si="20"/>
        <v>0</v>
      </c>
      <c r="AC55" s="263">
        <f t="shared" si="11"/>
        <v>0</v>
      </c>
    </row>
    <row r="56" spans="2:29" s="62" customFormat="1" x14ac:dyDescent="0.35">
      <c r="B56" s="118"/>
      <c r="C56" s="451">
        <v>35</v>
      </c>
      <c r="D56" s="654"/>
      <c r="E56" s="13"/>
      <c r="F56" s="14"/>
      <c r="G56" s="30"/>
      <c r="H56" s="14"/>
      <c r="I56" s="29"/>
      <c r="J56" s="21"/>
      <c r="K56" s="22"/>
      <c r="L56" s="28"/>
      <c r="M56" s="28"/>
      <c r="N56" s="119"/>
      <c r="P56" s="453" t="str">
        <f t="shared" si="7"/>
        <v/>
      </c>
      <c r="Q56" s="263">
        <f t="shared" si="13"/>
        <v>0</v>
      </c>
      <c r="R56" s="263">
        <f t="shared" si="14"/>
        <v>0</v>
      </c>
      <c r="S56" s="263">
        <f t="shared" si="9"/>
        <v>0</v>
      </c>
      <c r="T56" s="263">
        <f t="shared" si="15"/>
        <v>0</v>
      </c>
      <c r="U56" s="263">
        <f t="shared" si="12"/>
        <v>0</v>
      </c>
      <c r="V56" s="423">
        <f t="shared" si="10"/>
        <v>0</v>
      </c>
      <c r="W56" s="423">
        <f>SUM($V$22:V56)</f>
        <v>0</v>
      </c>
      <c r="X56" s="454">
        <f t="shared" si="16"/>
        <v>0</v>
      </c>
      <c r="Y56" s="263">
        <f t="shared" si="17"/>
        <v>0</v>
      </c>
      <c r="Z56" s="263">
        <f t="shared" si="18"/>
        <v>0</v>
      </c>
      <c r="AA56" s="454">
        <f t="shared" si="19"/>
        <v>0</v>
      </c>
      <c r="AB56" s="454">
        <f t="shared" si="20"/>
        <v>0</v>
      </c>
      <c r="AC56" s="263">
        <f t="shared" si="11"/>
        <v>0</v>
      </c>
    </row>
    <row r="57" spans="2:29" s="62" customFormat="1" x14ac:dyDescent="0.35">
      <c r="B57" s="118"/>
      <c r="C57" s="451">
        <v>36</v>
      </c>
      <c r="D57" s="654"/>
      <c r="E57" s="13"/>
      <c r="F57" s="14"/>
      <c r="G57" s="30"/>
      <c r="H57" s="14"/>
      <c r="I57" s="29"/>
      <c r="J57" s="21"/>
      <c r="K57" s="22"/>
      <c r="L57" s="28"/>
      <c r="M57" s="28"/>
      <c r="N57" s="119"/>
      <c r="P57" s="453" t="str">
        <f t="shared" si="7"/>
        <v/>
      </c>
      <c r="Q57" s="263">
        <f t="shared" si="13"/>
        <v>0</v>
      </c>
      <c r="R57" s="263">
        <f t="shared" si="14"/>
        <v>0</v>
      </c>
      <c r="S57" s="263">
        <f t="shared" si="9"/>
        <v>0</v>
      </c>
      <c r="T57" s="263">
        <f t="shared" si="15"/>
        <v>0</v>
      </c>
      <c r="U57" s="263">
        <f t="shared" si="12"/>
        <v>0</v>
      </c>
      <c r="V57" s="423">
        <f t="shared" si="10"/>
        <v>0</v>
      </c>
      <c r="W57" s="423">
        <f>SUM($V$22:V57)</f>
        <v>0</v>
      </c>
      <c r="X57" s="454">
        <f t="shared" si="16"/>
        <v>0</v>
      </c>
      <c r="Y57" s="263">
        <f t="shared" si="17"/>
        <v>0</v>
      </c>
      <c r="Z57" s="263">
        <f t="shared" si="18"/>
        <v>0</v>
      </c>
      <c r="AA57" s="454">
        <f t="shared" si="19"/>
        <v>0</v>
      </c>
      <c r="AB57" s="454">
        <f t="shared" si="20"/>
        <v>0</v>
      </c>
      <c r="AC57" s="263">
        <f t="shared" si="11"/>
        <v>0</v>
      </c>
    </row>
    <row r="58" spans="2:29" s="62" customFormat="1" x14ac:dyDescent="0.35">
      <c r="B58" s="118"/>
      <c r="C58" s="451">
        <v>37</v>
      </c>
      <c r="D58" s="654"/>
      <c r="E58" s="13"/>
      <c r="F58" s="14"/>
      <c r="G58" s="30"/>
      <c r="H58" s="14"/>
      <c r="I58" s="29"/>
      <c r="J58" s="21"/>
      <c r="K58" s="22"/>
      <c r="L58" s="28"/>
      <c r="M58" s="28"/>
      <c r="N58" s="119"/>
      <c r="P58" s="453" t="str">
        <f t="shared" si="7"/>
        <v/>
      </c>
      <c r="Q58" s="263">
        <f t="shared" si="13"/>
        <v>0</v>
      </c>
      <c r="R58" s="263">
        <f t="shared" si="14"/>
        <v>0</v>
      </c>
      <c r="S58" s="263">
        <f t="shared" si="9"/>
        <v>0</v>
      </c>
      <c r="T58" s="263">
        <f t="shared" si="15"/>
        <v>0</v>
      </c>
      <c r="U58" s="263">
        <f t="shared" si="12"/>
        <v>0</v>
      </c>
      <c r="V58" s="423">
        <f t="shared" si="10"/>
        <v>0</v>
      </c>
      <c r="W58" s="423">
        <f>SUM($V$22:V58)</f>
        <v>0</v>
      </c>
      <c r="X58" s="454">
        <f t="shared" si="16"/>
        <v>0</v>
      </c>
      <c r="Y58" s="263">
        <f t="shared" si="17"/>
        <v>0</v>
      </c>
      <c r="Z58" s="263">
        <f t="shared" si="18"/>
        <v>0</v>
      </c>
      <c r="AA58" s="454">
        <f t="shared" si="19"/>
        <v>0</v>
      </c>
      <c r="AB58" s="454">
        <f t="shared" si="20"/>
        <v>0</v>
      </c>
      <c r="AC58" s="263">
        <f t="shared" si="11"/>
        <v>0</v>
      </c>
    </row>
    <row r="59" spans="2:29" s="62" customFormat="1" x14ac:dyDescent="0.35">
      <c r="B59" s="118"/>
      <c r="C59" s="451">
        <v>38</v>
      </c>
      <c r="D59" s="654"/>
      <c r="E59" s="13"/>
      <c r="F59" s="14"/>
      <c r="G59" s="30"/>
      <c r="H59" s="14"/>
      <c r="I59" s="29"/>
      <c r="J59" s="21"/>
      <c r="K59" s="22"/>
      <c r="L59" s="28"/>
      <c r="M59" s="28"/>
      <c r="N59" s="119"/>
      <c r="P59" s="453" t="str">
        <f t="shared" si="7"/>
        <v/>
      </c>
      <c r="Q59" s="263">
        <f t="shared" si="13"/>
        <v>0</v>
      </c>
      <c r="R59" s="263">
        <f t="shared" si="14"/>
        <v>0</v>
      </c>
      <c r="S59" s="263">
        <f t="shared" si="9"/>
        <v>0</v>
      </c>
      <c r="T59" s="263">
        <f t="shared" si="15"/>
        <v>0</v>
      </c>
      <c r="U59" s="263">
        <f t="shared" si="12"/>
        <v>0</v>
      </c>
      <c r="V59" s="423">
        <f t="shared" si="10"/>
        <v>0</v>
      </c>
      <c r="W59" s="423">
        <f>SUM($V$22:V59)</f>
        <v>0</v>
      </c>
      <c r="X59" s="454">
        <f t="shared" si="16"/>
        <v>0</v>
      </c>
      <c r="Y59" s="263">
        <f t="shared" si="17"/>
        <v>0</v>
      </c>
      <c r="Z59" s="263">
        <f t="shared" si="18"/>
        <v>0</v>
      </c>
      <c r="AA59" s="454">
        <f t="shared" si="19"/>
        <v>0</v>
      </c>
      <c r="AB59" s="454">
        <f t="shared" si="20"/>
        <v>0</v>
      </c>
      <c r="AC59" s="263">
        <f t="shared" si="11"/>
        <v>0</v>
      </c>
    </row>
    <row r="60" spans="2:29" s="62" customFormat="1" x14ac:dyDescent="0.35">
      <c r="B60" s="118"/>
      <c r="C60" s="451">
        <v>39</v>
      </c>
      <c r="D60" s="654"/>
      <c r="E60" s="13"/>
      <c r="F60" s="14"/>
      <c r="G60" s="30"/>
      <c r="H60" s="14"/>
      <c r="I60" s="29"/>
      <c r="J60" s="21"/>
      <c r="K60" s="22"/>
      <c r="L60" s="28"/>
      <c r="M60" s="28"/>
      <c r="N60" s="119"/>
      <c r="P60" s="453" t="str">
        <f t="shared" si="7"/>
        <v/>
      </c>
      <c r="Q60" s="263">
        <f t="shared" si="13"/>
        <v>0</v>
      </c>
      <c r="R60" s="263">
        <f t="shared" si="14"/>
        <v>0</v>
      </c>
      <c r="S60" s="263">
        <f t="shared" si="9"/>
        <v>0</v>
      </c>
      <c r="T60" s="263">
        <f t="shared" si="15"/>
        <v>0</v>
      </c>
      <c r="U60" s="263">
        <f t="shared" si="12"/>
        <v>0</v>
      </c>
      <c r="V60" s="423">
        <f t="shared" si="10"/>
        <v>0</v>
      </c>
      <c r="W60" s="423">
        <f>SUM($V$22:V60)</f>
        <v>0</v>
      </c>
      <c r="X60" s="454">
        <f t="shared" si="16"/>
        <v>0</v>
      </c>
      <c r="Y60" s="263">
        <f t="shared" si="17"/>
        <v>0</v>
      </c>
      <c r="Z60" s="263">
        <f t="shared" si="18"/>
        <v>0</v>
      </c>
      <c r="AA60" s="454">
        <f t="shared" si="19"/>
        <v>0</v>
      </c>
      <c r="AB60" s="454">
        <f t="shared" si="20"/>
        <v>0</v>
      </c>
      <c r="AC60" s="263">
        <f t="shared" si="11"/>
        <v>0</v>
      </c>
    </row>
    <row r="61" spans="2:29" s="62" customFormat="1" x14ac:dyDescent="0.35">
      <c r="B61" s="118"/>
      <c r="C61" s="451">
        <v>40</v>
      </c>
      <c r="D61" s="654"/>
      <c r="E61" s="13"/>
      <c r="F61" s="14"/>
      <c r="G61" s="30"/>
      <c r="H61" s="14"/>
      <c r="I61" s="29"/>
      <c r="J61" s="21"/>
      <c r="K61" s="22"/>
      <c r="L61" s="28"/>
      <c r="M61" s="28"/>
      <c r="N61" s="119"/>
      <c r="P61" s="453" t="str">
        <f t="shared" si="7"/>
        <v/>
      </c>
      <c r="Q61" s="263">
        <f t="shared" si="13"/>
        <v>0</v>
      </c>
      <c r="R61" s="263">
        <f t="shared" si="14"/>
        <v>0</v>
      </c>
      <c r="S61" s="263">
        <f t="shared" si="9"/>
        <v>0</v>
      </c>
      <c r="T61" s="263">
        <f t="shared" si="15"/>
        <v>0</v>
      </c>
      <c r="U61" s="263">
        <f t="shared" si="12"/>
        <v>0</v>
      </c>
      <c r="V61" s="423">
        <f t="shared" si="10"/>
        <v>0</v>
      </c>
      <c r="W61" s="423">
        <f>SUM($V$22:V61)</f>
        <v>0</v>
      </c>
      <c r="X61" s="454">
        <f t="shared" si="16"/>
        <v>0</v>
      </c>
      <c r="Y61" s="263">
        <f t="shared" si="17"/>
        <v>0</v>
      </c>
      <c r="Z61" s="263">
        <f t="shared" si="18"/>
        <v>0</v>
      </c>
      <c r="AA61" s="454">
        <f t="shared" si="19"/>
        <v>0</v>
      </c>
      <c r="AB61" s="454">
        <f t="shared" si="20"/>
        <v>0</v>
      </c>
      <c r="AC61" s="263">
        <f t="shared" si="11"/>
        <v>0</v>
      </c>
    </row>
    <row r="62" spans="2:29" s="62" customFormat="1" x14ac:dyDescent="0.35">
      <c r="B62" s="118"/>
      <c r="C62" s="451">
        <v>41</v>
      </c>
      <c r="D62" s="654"/>
      <c r="E62" s="13"/>
      <c r="F62" s="14"/>
      <c r="G62" s="30"/>
      <c r="H62" s="14"/>
      <c r="I62" s="29"/>
      <c r="J62" s="21"/>
      <c r="K62" s="22"/>
      <c r="L62" s="28"/>
      <c r="M62" s="28"/>
      <c r="N62" s="119"/>
      <c r="P62" s="453" t="str">
        <f t="shared" si="7"/>
        <v/>
      </c>
      <c r="Q62" s="263">
        <f t="shared" si="13"/>
        <v>0</v>
      </c>
      <c r="R62" s="263">
        <f t="shared" si="14"/>
        <v>0</v>
      </c>
      <c r="S62" s="263">
        <f t="shared" si="9"/>
        <v>0</v>
      </c>
      <c r="T62" s="263">
        <f t="shared" si="15"/>
        <v>0</v>
      </c>
      <c r="U62" s="263">
        <f t="shared" si="12"/>
        <v>0</v>
      </c>
      <c r="V62" s="423">
        <f t="shared" si="10"/>
        <v>0</v>
      </c>
      <c r="W62" s="423">
        <f>SUM($V$22:V62)</f>
        <v>0</v>
      </c>
      <c r="X62" s="454">
        <f t="shared" si="16"/>
        <v>0</v>
      </c>
      <c r="Y62" s="263">
        <f t="shared" si="17"/>
        <v>0</v>
      </c>
      <c r="Z62" s="263">
        <f t="shared" si="18"/>
        <v>0</v>
      </c>
      <c r="AA62" s="454">
        <f t="shared" si="19"/>
        <v>0</v>
      </c>
      <c r="AB62" s="454">
        <f t="shared" si="20"/>
        <v>0</v>
      </c>
      <c r="AC62" s="263">
        <f t="shared" si="11"/>
        <v>0</v>
      </c>
    </row>
    <row r="63" spans="2:29" s="62" customFormat="1" x14ac:dyDescent="0.35">
      <c r="B63" s="118"/>
      <c r="C63" s="451">
        <v>42</v>
      </c>
      <c r="D63" s="654"/>
      <c r="E63" s="13"/>
      <c r="F63" s="14"/>
      <c r="G63" s="30"/>
      <c r="H63" s="14"/>
      <c r="I63" s="29"/>
      <c r="J63" s="21"/>
      <c r="K63" s="22"/>
      <c r="L63" s="28"/>
      <c r="M63" s="28"/>
      <c r="N63" s="119"/>
      <c r="P63" s="453" t="str">
        <f t="shared" si="7"/>
        <v/>
      </c>
      <c r="Q63" s="263">
        <f t="shared" si="13"/>
        <v>0</v>
      </c>
      <c r="R63" s="263">
        <f t="shared" si="14"/>
        <v>0</v>
      </c>
      <c r="S63" s="263">
        <f t="shared" si="9"/>
        <v>0</v>
      </c>
      <c r="T63" s="263">
        <f t="shared" si="15"/>
        <v>0</v>
      </c>
      <c r="U63" s="263">
        <f t="shared" si="12"/>
        <v>0</v>
      </c>
      <c r="V63" s="423">
        <f t="shared" si="10"/>
        <v>0</v>
      </c>
      <c r="W63" s="423">
        <f>SUM($V$22:V63)</f>
        <v>0</v>
      </c>
      <c r="X63" s="454">
        <f t="shared" si="16"/>
        <v>0</v>
      </c>
      <c r="Y63" s="263">
        <f t="shared" si="17"/>
        <v>0</v>
      </c>
      <c r="Z63" s="263">
        <f t="shared" si="18"/>
        <v>0</v>
      </c>
      <c r="AA63" s="454">
        <f t="shared" si="19"/>
        <v>0</v>
      </c>
      <c r="AB63" s="454">
        <f t="shared" si="20"/>
        <v>0</v>
      </c>
      <c r="AC63" s="263">
        <f t="shared" si="11"/>
        <v>0</v>
      </c>
    </row>
    <row r="64" spans="2:29" s="62" customFormat="1" x14ac:dyDescent="0.35">
      <c r="B64" s="118"/>
      <c r="C64" s="451">
        <v>43</v>
      </c>
      <c r="D64" s="654"/>
      <c r="E64" s="13"/>
      <c r="F64" s="14"/>
      <c r="G64" s="30"/>
      <c r="H64" s="14"/>
      <c r="I64" s="29"/>
      <c r="J64" s="21"/>
      <c r="K64" s="22"/>
      <c r="L64" s="28"/>
      <c r="M64" s="28"/>
      <c r="N64" s="119"/>
      <c r="P64" s="453" t="str">
        <f t="shared" si="7"/>
        <v/>
      </c>
      <c r="Q64" s="263">
        <f t="shared" si="13"/>
        <v>0</v>
      </c>
      <c r="R64" s="263">
        <f t="shared" si="14"/>
        <v>0</v>
      </c>
      <c r="S64" s="263">
        <f t="shared" si="9"/>
        <v>0</v>
      </c>
      <c r="T64" s="263">
        <f t="shared" si="15"/>
        <v>0</v>
      </c>
      <c r="U64" s="263">
        <f t="shared" si="12"/>
        <v>0</v>
      </c>
      <c r="V64" s="423">
        <f t="shared" si="10"/>
        <v>0</v>
      </c>
      <c r="W64" s="423">
        <f>SUM($V$22:V64)</f>
        <v>0</v>
      </c>
      <c r="X64" s="454">
        <f t="shared" si="16"/>
        <v>0</v>
      </c>
      <c r="Y64" s="263">
        <f t="shared" si="17"/>
        <v>0</v>
      </c>
      <c r="Z64" s="263">
        <f t="shared" si="18"/>
        <v>0</v>
      </c>
      <c r="AA64" s="454">
        <f t="shared" si="19"/>
        <v>0</v>
      </c>
      <c r="AB64" s="454">
        <f t="shared" si="20"/>
        <v>0</v>
      </c>
      <c r="AC64" s="263">
        <f t="shared" si="11"/>
        <v>0</v>
      </c>
    </row>
    <row r="65" spans="2:29" s="62" customFormat="1" x14ac:dyDescent="0.35">
      <c r="B65" s="118"/>
      <c r="C65" s="451">
        <v>44</v>
      </c>
      <c r="D65" s="654"/>
      <c r="E65" s="13"/>
      <c r="F65" s="14"/>
      <c r="G65" s="30"/>
      <c r="H65" s="14"/>
      <c r="I65" s="29"/>
      <c r="J65" s="21"/>
      <c r="K65" s="22"/>
      <c r="L65" s="28"/>
      <c r="M65" s="28"/>
      <c r="N65" s="119"/>
      <c r="P65" s="453" t="str">
        <f t="shared" si="7"/>
        <v/>
      </c>
      <c r="Q65" s="263">
        <f t="shared" si="13"/>
        <v>0</v>
      </c>
      <c r="R65" s="263">
        <f t="shared" si="14"/>
        <v>0</v>
      </c>
      <c r="S65" s="263">
        <f t="shared" si="9"/>
        <v>0</v>
      </c>
      <c r="T65" s="263">
        <f t="shared" si="15"/>
        <v>0</v>
      </c>
      <c r="U65" s="263">
        <f t="shared" si="12"/>
        <v>0</v>
      </c>
      <c r="V65" s="423">
        <f t="shared" si="10"/>
        <v>0</v>
      </c>
      <c r="W65" s="423">
        <f>SUM($V$22:V65)</f>
        <v>0</v>
      </c>
      <c r="X65" s="454">
        <f t="shared" si="16"/>
        <v>0</v>
      </c>
      <c r="Y65" s="263">
        <f t="shared" si="17"/>
        <v>0</v>
      </c>
      <c r="Z65" s="263">
        <f t="shared" si="18"/>
        <v>0</v>
      </c>
      <c r="AA65" s="454">
        <f t="shared" si="19"/>
        <v>0</v>
      </c>
      <c r="AB65" s="454">
        <f t="shared" si="20"/>
        <v>0</v>
      </c>
      <c r="AC65" s="263">
        <f t="shared" si="11"/>
        <v>0</v>
      </c>
    </row>
    <row r="66" spans="2:29" s="62" customFormat="1" x14ac:dyDescent="0.35">
      <c r="B66" s="118"/>
      <c r="C66" s="451">
        <v>45</v>
      </c>
      <c r="D66" s="654"/>
      <c r="E66" s="13"/>
      <c r="F66" s="14"/>
      <c r="G66" s="30"/>
      <c r="H66" s="14"/>
      <c r="I66" s="29"/>
      <c r="J66" s="21"/>
      <c r="K66" s="22"/>
      <c r="L66" s="28"/>
      <c r="M66" s="28"/>
      <c r="N66" s="119"/>
      <c r="P66" s="453" t="str">
        <f t="shared" si="7"/>
        <v/>
      </c>
      <c r="Q66" s="263">
        <f t="shared" si="13"/>
        <v>0</v>
      </c>
      <c r="R66" s="263">
        <f t="shared" si="14"/>
        <v>0</v>
      </c>
      <c r="S66" s="263">
        <f t="shared" si="9"/>
        <v>0</v>
      </c>
      <c r="T66" s="263">
        <f t="shared" si="15"/>
        <v>0</v>
      </c>
      <c r="U66" s="263">
        <f t="shared" si="12"/>
        <v>0</v>
      </c>
      <c r="V66" s="423">
        <f t="shared" si="10"/>
        <v>0</v>
      </c>
      <c r="W66" s="423">
        <f>SUM($V$22:V66)</f>
        <v>0</v>
      </c>
      <c r="X66" s="454">
        <f t="shared" si="16"/>
        <v>0</v>
      </c>
      <c r="Y66" s="263">
        <f t="shared" si="17"/>
        <v>0</v>
      </c>
      <c r="Z66" s="263">
        <f t="shared" si="18"/>
        <v>0</v>
      </c>
      <c r="AA66" s="454">
        <f t="shared" si="19"/>
        <v>0</v>
      </c>
      <c r="AB66" s="454">
        <f t="shared" si="20"/>
        <v>0</v>
      </c>
      <c r="AC66" s="263">
        <f t="shared" si="11"/>
        <v>0</v>
      </c>
    </row>
    <row r="67" spans="2:29" s="62" customFormat="1" x14ac:dyDescent="0.35">
      <c r="B67" s="118"/>
      <c r="C67" s="451">
        <v>46</v>
      </c>
      <c r="D67" s="654"/>
      <c r="E67" s="13"/>
      <c r="F67" s="14"/>
      <c r="G67" s="30"/>
      <c r="H67" s="14"/>
      <c r="I67" s="29"/>
      <c r="J67" s="21"/>
      <c r="K67" s="22"/>
      <c r="L67" s="28"/>
      <c r="M67" s="28"/>
      <c r="N67" s="119"/>
      <c r="P67" s="453" t="str">
        <f t="shared" si="7"/>
        <v/>
      </c>
      <c r="Q67" s="263">
        <f t="shared" si="13"/>
        <v>0</v>
      </c>
      <c r="R67" s="263">
        <f t="shared" si="14"/>
        <v>0</v>
      </c>
      <c r="S67" s="263">
        <f t="shared" si="9"/>
        <v>0</v>
      </c>
      <c r="T67" s="263">
        <f t="shared" si="15"/>
        <v>0</v>
      </c>
      <c r="U67" s="263">
        <f t="shared" si="12"/>
        <v>0</v>
      </c>
      <c r="V67" s="423">
        <f t="shared" si="10"/>
        <v>0</v>
      </c>
      <c r="W67" s="423">
        <f>SUM($V$22:V67)</f>
        <v>0</v>
      </c>
      <c r="X67" s="454">
        <f t="shared" si="16"/>
        <v>0</v>
      </c>
      <c r="Y67" s="263">
        <f t="shared" si="17"/>
        <v>0</v>
      </c>
      <c r="Z67" s="263">
        <f t="shared" si="18"/>
        <v>0</v>
      </c>
      <c r="AA67" s="454">
        <f t="shared" si="19"/>
        <v>0</v>
      </c>
      <c r="AB67" s="454">
        <f t="shared" si="20"/>
        <v>0</v>
      </c>
      <c r="AC67" s="263">
        <f t="shared" si="11"/>
        <v>0</v>
      </c>
    </row>
    <row r="68" spans="2:29" s="62" customFormat="1" x14ac:dyDescent="0.35">
      <c r="B68" s="118"/>
      <c r="C68" s="451">
        <v>47</v>
      </c>
      <c r="D68" s="654"/>
      <c r="E68" s="13"/>
      <c r="F68" s="14"/>
      <c r="G68" s="30"/>
      <c r="H68" s="14"/>
      <c r="I68" s="29"/>
      <c r="J68" s="21"/>
      <c r="K68" s="22"/>
      <c r="L68" s="28"/>
      <c r="M68" s="28"/>
      <c r="N68" s="119"/>
      <c r="P68" s="453" t="str">
        <f t="shared" si="7"/>
        <v/>
      </c>
      <c r="Q68" s="263">
        <f t="shared" si="13"/>
        <v>0</v>
      </c>
      <c r="R68" s="263">
        <f t="shared" si="14"/>
        <v>0</v>
      </c>
      <c r="S68" s="263">
        <f t="shared" si="9"/>
        <v>0</v>
      </c>
      <c r="T68" s="263">
        <f t="shared" si="15"/>
        <v>0</v>
      </c>
      <c r="U68" s="263">
        <f t="shared" si="12"/>
        <v>0</v>
      </c>
      <c r="V68" s="423">
        <f t="shared" si="10"/>
        <v>0</v>
      </c>
      <c r="W68" s="423">
        <f>SUM($V$22:V68)</f>
        <v>0</v>
      </c>
      <c r="X68" s="454">
        <f t="shared" si="16"/>
        <v>0</v>
      </c>
      <c r="Y68" s="263">
        <f t="shared" si="17"/>
        <v>0</v>
      </c>
      <c r="Z68" s="263">
        <f t="shared" si="18"/>
        <v>0</v>
      </c>
      <c r="AA68" s="454">
        <f t="shared" si="19"/>
        <v>0</v>
      </c>
      <c r="AB68" s="454">
        <f t="shared" si="20"/>
        <v>0</v>
      </c>
      <c r="AC68" s="263">
        <f t="shared" si="11"/>
        <v>0</v>
      </c>
    </row>
    <row r="69" spans="2:29" s="62" customFormat="1" x14ac:dyDescent="0.35">
      <c r="B69" s="118"/>
      <c r="C69" s="451">
        <v>48</v>
      </c>
      <c r="D69" s="654"/>
      <c r="E69" s="13"/>
      <c r="F69" s="14"/>
      <c r="G69" s="30"/>
      <c r="H69" s="14"/>
      <c r="I69" s="29"/>
      <c r="J69" s="21"/>
      <c r="K69" s="22"/>
      <c r="L69" s="28"/>
      <c r="M69" s="28"/>
      <c r="N69" s="119"/>
      <c r="P69" s="453" t="str">
        <f t="shared" si="7"/>
        <v/>
      </c>
      <c r="Q69" s="263">
        <f t="shared" si="13"/>
        <v>0</v>
      </c>
      <c r="R69" s="263">
        <f t="shared" si="14"/>
        <v>0</v>
      </c>
      <c r="S69" s="263">
        <f t="shared" si="9"/>
        <v>0</v>
      </c>
      <c r="T69" s="263">
        <f t="shared" si="15"/>
        <v>0</v>
      </c>
      <c r="U69" s="263">
        <f t="shared" si="12"/>
        <v>0</v>
      </c>
      <c r="V69" s="423">
        <f t="shared" si="10"/>
        <v>0</v>
      </c>
      <c r="W69" s="423">
        <f>SUM($V$22:V69)</f>
        <v>0</v>
      </c>
      <c r="X69" s="454">
        <f t="shared" si="16"/>
        <v>0</v>
      </c>
      <c r="Y69" s="263">
        <f t="shared" si="17"/>
        <v>0</v>
      </c>
      <c r="Z69" s="263">
        <f t="shared" si="18"/>
        <v>0</v>
      </c>
      <c r="AA69" s="454">
        <f t="shared" si="19"/>
        <v>0</v>
      </c>
      <c r="AB69" s="454">
        <f t="shared" si="20"/>
        <v>0</v>
      </c>
      <c r="AC69" s="263">
        <f t="shared" si="11"/>
        <v>0</v>
      </c>
    </row>
    <row r="70" spans="2:29" s="62" customFormat="1" x14ac:dyDescent="0.35">
      <c r="B70" s="118"/>
      <c r="C70" s="451">
        <v>49</v>
      </c>
      <c r="D70" s="654"/>
      <c r="E70" s="13"/>
      <c r="F70" s="14"/>
      <c r="G70" s="30"/>
      <c r="H70" s="14"/>
      <c r="I70" s="29"/>
      <c r="J70" s="21"/>
      <c r="K70" s="22"/>
      <c r="L70" s="28"/>
      <c r="M70" s="28"/>
      <c r="N70" s="119"/>
      <c r="P70" s="453" t="str">
        <f t="shared" si="7"/>
        <v/>
      </c>
      <c r="Q70" s="263">
        <f t="shared" si="13"/>
        <v>0</v>
      </c>
      <c r="R70" s="263">
        <f t="shared" si="14"/>
        <v>0</v>
      </c>
      <c r="S70" s="263">
        <f t="shared" si="9"/>
        <v>0</v>
      </c>
      <c r="T70" s="263">
        <f t="shared" si="15"/>
        <v>0</v>
      </c>
      <c r="U70" s="263">
        <f t="shared" si="12"/>
        <v>0</v>
      </c>
      <c r="V70" s="423">
        <f t="shared" si="10"/>
        <v>0</v>
      </c>
      <c r="W70" s="423">
        <f>SUM($V$22:V70)</f>
        <v>0</v>
      </c>
      <c r="X70" s="454">
        <f t="shared" si="16"/>
        <v>0</v>
      </c>
      <c r="Y70" s="263">
        <f t="shared" si="17"/>
        <v>0</v>
      </c>
      <c r="Z70" s="263">
        <f t="shared" si="18"/>
        <v>0</v>
      </c>
      <c r="AA70" s="454">
        <f t="shared" si="19"/>
        <v>0</v>
      </c>
      <c r="AB70" s="454">
        <f t="shared" si="20"/>
        <v>0</v>
      </c>
      <c r="AC70" s="263">
        <f t="shared" si="11"/>
        <v>0</v>
      </c>
    </row>
    <row r="71" spans="2:29" s="62" customFormat="1" ht="14.5" thickBot="1" x14ac:dyDescent="0.4">
      <c r="B71" s="118"/>
      <c r="C71" s="690">
        <v>50</v>
      </c>
      <c r="D71" s="691"/>
      <c r="E71" s="685"/>
      <c r="F71" s="692"/>
      <c r="G71" s="678"/>
      <c r="H71" s="692"/>
      <c r="I71" s="693"/>
      <c r="J71" s="694"/>
      <c r="K71" s="682"/>
      <c r="L71" s="695"/>
      <c r="M71" s="695"/>
      <c r="N71" s="119"/>
      <c r="P71" s="453" t="str">
        <f t="shared" si="7"/>
        <v/>
      </c>
      <c r="Q71" s="263">
        <f t="shared" si="13"/>
        <v>0</v>
      </c>
      <c r="R71" s="263">
        <f t="shared" si="14"/>
        <v>0</v>
      </c>
      <c r="S71" s="263">
        <f t="shared" si="9"/>
        <v>0</v>
      </c>
      <c r="T71" s="263">
        <f t="shared" si="15"/>
        <v>0</v>
      </c>
      <c r="U71" s="263">
        <f t="shared" si="12"/>
        <v>0</v>
      </c>
      <c r="V71" s="423">
        <f t="shared" si="10"/>
        <v>0</v>
      </c>
      <c r="W71" s="423">
        <f>SUM($V$22:V71)</f>
        <v>0</v>
      </c>
      <c r="X71" s="454">
        <f t="shared" si="16"/>
        <v>0</v>
      </c>
      <c r="Y71" s="263">
        <f t="shared" si="17"/>
        <v>0</v>
      </c>
      <c r="Z71" s="263">
        <f t="shared" si="18"/>
        <v>0</v>
      </c>
      <c r="AA71" s="454">
        <f t="shared" si="19"/>
        <v>0</v>
      </c>
      <c r="AB71" s="454">
        <f t="shared" si="20"/>
        <v>0</v>
      </c>
      <c r="AC71" s="263">
        <f t="shared" si="11"/>
        <v>0</v>
      </c>
    </row>
    <row r="72" spans="2:29" s="62" customFormat="1" ht="18" customHeight="1" thickBot="1" x14ac:dyDescent="0.4">
      <c r="B72" s="118"/>
      <c r="C72" s="1046" t="s">
        <v>387</v>
      </c>
      <c r="D72" s="1047"/>
      <c r="E72" s="1047"/>
      <c r="F72" s="1047"/>
      <c r="G72" s="1047"/>
      <c r="H72" s="1047"/>
      <c r="I72" s="1047"/>
      <c r="J72" s="1047"/>
      <c r="K72" s="696">
        <f>SUM(K22:K71)</f>
        <v>0</v>
      </c>
      <c r="L72" s="697">
        <f>SUM(L22:L71)</f>
        <v>0</v>
      </c>
      <c r="M72" s="698">
        <f>SUM(M22:M71)</f>
        <v>0</v>
      </c>
      <c r="N72" s="119"/>
      <c r="P72" s="455"/>
      <c r="Q72" s="263"/>
      <c r="R72" s="263"/>
      <c r="S72" s="263"/>
      <c r="T72" s="263"/>
      <c r="U72" s="263"/>
      <c r="V72" s="423"/>
      <c r="W72" s="423"/>
      <c r="X72" s="456"/>
      <c r="Y72" s="263"/>
      <c r="Z72" s="263"/>
      <c r="AA72" s="456"/>
      <c r="AB72" s="456"/>
      <c r="AC72" s="457"/>
    </row>
    <row r="73" spans="2:29" ht="10" customHeight="1" thickBot="1" x14ac:dyDescent="0.35">
      <c r="B73" s="193"/>
      <c r="C73" s="458"/>
      <c r="D73" s="458"/>
      <c r="E73" s="459"/>
      <c r="F73" s="460"/>
      <c r="G73" s="459"/>
      <c r="H73" s="459"/>
      <c r="I73" s="459"/>
      <c r="J73" s="461"/>
      <c r="K73" s="460"/>
      <c r="L73" s="459"/>
      <c r="M73" s="459"/>
      <c r="N73" s="382"/>
      <c r="V73" s="462"/>
      <c r="W73" s="462"/>
      <c r="AC73" s="428"/>
    </row>
    <row r="74" spans="2:29" x14ac:dyDescent="0.3">
      <c r="U74" s="463" t="s">
        <v>479</v>
      </c>
      <c r="V74" s="429">
        <f>IF(SUM(V22:V73)&gt;30,30,(SUM(V22:V73)))</f>
        <v>0</v>
      </c>
      <c r="W74" s="464"/>
      <c r="Y74" s="464">
        <f>SUM(Y22:Y73)</f>
        <v>0</v>
      </c>
      <c r="Z74" s="464">
        <f>IF(W79=1,(SUM(Z22:Z71)+W79),SUM(Z22:Z71))</f>
        <v>0</v>
      </c>
      <c r="AA74" s="465">
        <f>SUM(AA22:AA71)</f>
        <v>0</v>
      </c>
      <c r="AB74" s="465">
        <f>SUM(AB22:AB71)</f>
        <v>0</v>
      </c>
      <c r="AC74" s="429">
        <f>SUM(AC22:AC73)</f>
        <v>0</v>
      </c>
    </row>
    <row r="75" spans="2:29" x14ac:dyDescent="0.3">
      <c r="K75" s="466"/>
      <c r="L75" s="467"/>
      <c r="M75" s="467"/>
      <c r="U75" s="463" t="s">
        <v>492</v>
      </c>
      <c r="V75" s="429">
        <f>SUM(V22:V71)</f>
        <v>0</v>
      </c>
      <c r="W75" s="429"/>
    </row>
    <row r="76" spans="2:29" x14ac:dyDescent="0.3">
      <c r="U76" s="463" t="s">
        <v>490</v>
      </c>
      <c r="V76" s="429">
        <f>+Y74</f>
        <v>0</v>
      </c>
    </row>
    <row r="77" spans="2:29" ht="15.5" customHeight="1" x14ac:dyDescent="0.3">
      <c r="C77" s="44"/>
      <c r="D77" s="44"/>
      <c r="U77" s="463" t="s">
        <v>491</v>
      </c>
      <c r="V77" s="429">
        <f>+Z74</f>
        <v>0</v>
      </c>
    </row>
    <row r="79" spans="2:29" x14ac:dyDescent="0.3">
      <c r="Q79" s="463" t="s">
        <v>418</v>
      </c>
      <c r="R79" s="468">
        <f>MIN(L22:L71)</f>
        <v>0</v>
      </c>
      <c r="U79" s="463" t="s">
        <v>493</v>
      </c>
      <c r="V79" s="429" t="str">
        <f>IFERROR(VLOOKUP(30,W22:W71,1,FALSE),"non trouvé")</f>
        <v>non trouvé</v>
      </c>
      <c r="W79" s="429">
        <f>IF(D22="",0,IF(V75&lt;=30,0,IF(V79="non trouvé",1,0)))</f>
        <v>0</v>
      </c>
    </row>
    <row r="80" spans="2:29" x14ac:dyDescent="0.3">
      <c r="Q80" s="463" t="s">
        <v>419</v>
      </c>
      <c r="R80" s="468">
        <f>MAX(L22:L71)</f>
        <v>0</v>
      </c>
    </row>
    <row r="82" spans="17:23" x14ac:dyDescent="0.3">
      <c r="U82" s="469"/>
    </row>
    <row r="83" spans="17:23" x14ac:dyDescent="0.3">
      <c r="Q83" s="463"/>
    </row>
    <row r="84" spans="17:23" x14ac:dyDescent="0.3">
      <c r="Q84" s="1045" t="str">
        <f>IF(E22="","",
IF(F22="","Vous devez compléter la colonne 1ere partie de l'onglet DEMANDE_Calendrier_Tournée",
IF(COUNTIF(F22:F71,"oui")&gt;COUNTIF(F22:F71,"non"),"La tournée est constituée majoritairement de premières parties",
IF(COUNTIF(F22:F71,"oui")=COUNTIF(F22:F71,"non"),"La tournée est constituée majoritairement de premières parties","La tournée n'est pas constituée majoritairement de premières parties"))))</f>
        <v/>
      </c>
      <c r="R84" s="1045"/>
      <c r="S84" s="1045"/>
      <c r="T84" s="1045"/>
      <c r="U84" s="1045"/>
      <c r="V84" s="1045"/>
      <c r="W84" s="1045"/>
    </row>
  </sheetData>
  <sheetProtection algorithmName="SHA-512" hashValue="9bulYZrscjEUjLqG5X6gvHfOn+VmlCnjmFqJrVSPcfHsEwfW1J4x0J1k+Kiu5Lri0O1b3wglihkQ+gnXYZwDFQ==" saltValue="K46FQUtflmEIb0sIOeTF2A==" spinCount="100000" sheet="1" objects="1" scenarios="1" formatRows="0"/>
  <mergeCells count="17">
    <mergeCell ref="F1:N1"/>
    <mergeCell ref="J4:N4"/>
    <mergeCell ref="J3:N3"/>
    <mergeCell ref="F2:N2"/>
    <mergeCell ref="C7:M7"/>
    <mergeCell ref="C10:M10"/>
    <mergeCell ref="C9:M9"/>
    <mergeCell ref="C13:M13"/>
    <mergeCell ref="Q84:W84"/>
    <mergeCell ref="C72:J72"/>
    <mergeCell ref="C11:M11"/>
    <mergeCell ref="C15:M15"/>
    <mergeCell ref="D16:M16"/>
    <mergeCell ref="D17:M17"/>
    <mergeCell ref="D18:M18"/>
    <mergeCell ref="D19:M19"/>
    <mergeCell ref="C12:M12"/>
  </mergeCells>
  <conditionalFormatting sqref="E22:E71">
    <cfRule type="duplicateValues" dxfId="42" priority="4"/>
  </conditionalFormatting>
  <conditionalFormatting sqref="P21">
    <cfRule type="containsText" dxfId="41" priority="2" operator="containsText" text="Le programme requiert un minimum de cinq dates de spectacles et deux lieux de diffusion différents">
      <formula>NOT(ISERROR(SEARCH("Le programme requiert un minimum de cinq dates de spectacles et deux lieux de diffusion différents",P21)))</formula>
    </cfRule>
  </conditionalFormatting>
  <conditionalFormatting sqref="P22:P71">
    <cfRule type="containsText" dxfId="40" priority="1" operator="containsText" text="Ne laissez aucune ligne vide entre deux dates">
      <formula>NOT(ISERROR(SEARCH("Ne laissez aucune ligne vide entre deux dates",P22)))</formula>
    </cfRule>
  </conditionalFormatting>
  <dataValidations count="2">
    <dataValidation allowBlank="1" showInputMessage="1" showErrorMessage="1" prompt="Si festival, capacité de la scène" sqref="K22:K71" xr:uid="{B913B56F-54F9-4672-93AC-C4992D17994D}"/>
    <dataValidation type="date" operator="greaterThan" allowBlank="1" showInputMessage="1" showErrorMessage="1" prompt="Entrer la date comme suit: _x000a_aaaa-mm-jj" sqref="D23:D71" xr:uid="{A0A38C34-5251-43D6-B594-CA75F31B5799}">
      <formula1>44927</formula1>
    </dataValidation>
  </dataValidations>
  <hyperlinks>
    <hyperlink ref="C13:M13" location="DEMANDE_Équipe_Tournée!C7" display="4. Ensuite, compléter la liste des frais de déplacement aérien et d'hébergement pour l'Équipe de tournée - cliquer ici" xr:uid="{EC4D357E-2641-41AE-B35E-43FE42ED6910}"/>
  </hyperlinks>
  <pageMargins left="0.25" right="0.25" top="0.75" bottom="0.75" header="0.3" footer="0.3"/>
  <pageSetup paperSize="3" scale="9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B2A726D-6F82-44E3-88F2-775672D43346}">
          <x14:formula1>
            <xm:f>Paramètres!$A$2:$A$3</xm:f>
          </x14:formula1>
          <xm:sqref>F22:F71</xm:sqref>
        </x14:dataValidation>
        <x14:dataValidation type="list" allowBlank="1" showInputMessage="1" showErrorMessage="1" xr:uid="{675DAF3B-99BB-4F5F-BF1B-563DC8C136F7}">
          <x14:formula1>
            <xm:f>Paramètres!$G$1:$G$3</xm:f>
          </x14:formula1>
          <xm:sqref>G22:G71</xm:sqref>
        </x14:dataValidation>
        <x14:dataValidation type="list" allowBlank="1" showInputMessage="1" showErrorMessage="1" prompt="Une copie des factures d'hôtel sera exigée au rapport final pour vous accorder le montant de 140 $ de perdiem/nuitée" xr:uid="{266BAB89-5CF5-4B62-9106-131CF0327F37}">
          <x14:formula1>
            <xm:f>Paramètres!$A$2:$A$3</xm:f>
          </x14:formula1>
          <xm:sqref>H22:H71</xm:sqref>
        </x14:dataValidation>
        <x14:dataValidation type="list" allowBlank="1" showInputMessage="1" showErrorMessage="1" xr:uid="{DD9E09BC-97F2-4959-B8CB-72F437C9B2B5}">
          <x14:formula1>
            <xm:f>Paramètres!$F$2:$F$258</xm:f>
          </x14:formula1>
          <xm:sqref>J22:J71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EF23-0C4B-4F36-8CEA-DFC8AD24917C}">
  <sheetPr>
    <tabColor theme="4" tint="-0.249977111117893"/>
    <pageSetUpPr fitToPage="1"/>
  </sheetPr>
  <dimension ref="B1:W38"/>
  <sheetViews>
    <sheetView showGridLines="0" zoomScale="90" zoomScaleNormal="90" workbookViewId="0">
      <selection activeCell="C7" sqref="C7:L7"/>
    </sheetView>
  </sheetViews>
  <sheetFormatPr baseColWidth="10" defaultColWidth="10.81640625" defaultRowHeight="14" x14ac:dyDescent="0.3"/>
  <cols>
    <col min="1" max="1" width="1.54296875" style="1" customWidth="1"/>
    <col min="2" max="2" width="2.54296875" style="1" customWidth="1"/>
    <col min="3" max="3" width="4.90625" style="418" customWidth="1"/>
    <col min="4" max="4" width="28.6328125" style="418" customWidth="1"/>
    <col min="5" max="5" width="28.6328125" style="1" customWidth="1"/>
    <col min="6" max="6" width="12.08984375" style="2" customWidth="1"/>
    <col min="7" max="7" width="14.6328125" style="1" customWidth="1"/>
    <col min="8" max="8" width="19.1796875" style="1" customWidth="1"/>
    <col min="9" max="9" width="15.1796875" style="1" customWidth="1"/>
    <col min="10" max="10" width="13.6328125" style="1" customWidth="1"/>
    <col min="11" max="11" width="13.6328125" style="2" customWidth="1"/>
    <col min="12" max="12" width="11.81640625" style="1" customWidth="1"/>
    <col min="13" max="13" width="2.54296875" style="1" customWidth="1"/>
    <col min="14" max="14" width="1.54296875" style="1" customWidth="1"/>
    <col min="15" max="15" width="28.6328125" style="1" customWidth="1"/>
    <col min="16" max="16" width="28.6328125" style="471" hidden="1" customWidth="1"/>
    <col min="17" max="17" width="11.90625" style="229" hidden="1" customWidth="1"/>
    <col min="18" max="18" width="7.1796875" style="229" hidden="1" customWidth="1"/>
    <col min="19" max="19" width="6.81640625" style="229" hidden="1" customWidth="1"/>
    <col min="20" max="20" width="5.90625" style="229" hidden="1" customWidth="1"/>
    <col min="21" max="16384" width="10.81640625" style="1"/>
  </cols>
  <sheetData>
    <row r="1" spans="2:23" s="62" customFormat="1" ht="36" customHeight="1" x14ac:dyDescent="0.35">
      <c r="C1" s="470"/>
      <c r="D1" s="470"/>
      <c r="E1" s="893" t="s">
        <v>571</v>
      </c>
      <c r="F1" s="893"/>
      <c r="G1" s="893"/>
      <c r="H1" s="893"/>
      <c r="I1" s="893"/>
      <c r="J1" s="893"/>
      <c r="K1" s="893"/>
      <c r="L1" s="893"/>
      <c r="M1" s="893"/>
      <c r="N1" s="303"/>
      <c r="O1" s="303"/>
      <c r="P1" s="1054" t="s">
        <v>408</v>
      </c>
      <c r="Q1" s="1054" t="s">
        <v>408</v>
      </c>
      <c r="R1" s="449"/>
      <c r="S1" s="1054"/>
      <c r="T1" s="449"/>
    </row>
    <row r="2" spans="2:23" s="62" customFormat="1" ht="16" customHeight="1" x14ac:dyDescent="0.35">
      <c r="C2" s="470"/>
      <c r="D2" s="470"/>
      <c r="E2" s="899" t="s">
        <v>87</v>
      </c>
      <c r="F2" s="899"/>
      <c r="G2" s="899"/>
      <c r="H2" s="899"/>
      <c r="I2" s="899"/>
      <c r="J2" s="899"/>
      <c r="K2" s="899"/>
      <c r="L2" s="899"/>
      <c r="M2" s="899"/>
      <c r="P2" s="1054"/>
      <c r="Q2" s="1054"/>
      <c r="R2" s="449"/>
      <c r="S2" s="1054"/>
      <c r="T2" s="449"/>
    </row>
    <row r="3" spans="2:23" s="62" customFormat="1" ht="16" customHeight="1" x14ac:dyDescent="0.35">
      <c r="C3" s="470"/>
      <c r="D3" s="470"/>
      <c r="E3" s="426"/>
      <c r="F3" s="223"/>
      <c r="G3" s="426"/>
      <c r="H3" s="900" t="s">
        <v>382</v>
      </c>
      <c r="I3" s="900"/>
      <c r="J3" s="900"/>
      <c r="K3" s="900"/>
      <c r="L3" s="900"/>
      <c r="M3" s="900"/>
      <c r="P3" s="1054"/>
      <c r="Q3" s="1054"/>
      <c r="R3" s="449"/>
      <c r="S3" s="1054"/>
      <c r="T3" s="449"/>
    </row>
    <row r="4" spans="2:23" s="62" customFormat="1" ht="12" customHeight="1" x14ac:dyDescent="0.35">
      <c r="C4" s="470"/>
      <c r="D4" s="470"/>
      <c r="F4" s="370"/>
      <c r="J4" s="898" t="s">
        <v>858</v>
      </c>
      <c r="K4" s="898"/>
      <c r="L4" s="898"/>
      <c r="M4" s="898"/>
      <c r="P4" s="1054"/>
      <c r="Q4" s="1054"/>
      <c r="R4" s="449"/>
      <c r="S4" s="1054"/>
      <c r="T4" s="449"/>
    </row>
    <row r="5" spans="2:23" ht="10" customHeight="1" thickBot="1" x14ac:dyDescent="0.35"/>
    <row r="6" spans="2:23" ht="10" customHeight="1" x14ac:dyDescent="0.3">
      <c r="B6" s="393"/>
      <c r="C6" s="431"/>
      <c r="D6" s="431"/>
      <c r="E6" s="432"/>
      <c r="F6" s="403"/>
      <c r="G6" s="432"/>
      <c r="H6" s="432"/>
      <c r="I6" s="432"/>
      <c r="J6" s="432"/>
      <c r="K6" s="403"/>
      <c r="L6" s="432"/>
      <c r="M6" s="394"/>
    </row>
    <row r="7" spans="2:23" ht="26" customHeight="1" x14ac:dyDescent="0.3">
      <c r="B7" s="171"/>
      <c r="C7" s="1050" t="s">
        <v>494</v>
      </c>
      <c r="D7" s="1050"/>
      <c r="E7" s="1050"/>
      <c r="F7" s="1050"/>
      <c r="G7" s="1050"/>
      <c r="H7" s="1050"/>
      <c r="I7" s="1050"/>
      <c r="J7" s="1050"/>
      <c r="K7" s="1050"/>
      <c r="L7" s="1050"/>
      <c r="M7" s="326"/>
    </row>
    <row r="8" spans="2:23" ht="10" customHeight="1" x14ac:dyDescent="0.3">
      <c r="B8" s="171"/>
      <c r="E8" s="433"/>
      <c r="F8" s="434"/>
      <c r="G8" s="433"/>
      <c r="H8" s="433"/>
      <c r="I8" s="433"/>
      <c r="M8" s="326"/>
    </row>
    <row r="9" spans="2:23" ht="28" customHeight="1" x14ac:dyDescent="0.3">
      <c r="B9" s="171"/>
      <c r="C9" s="1058" t="s">
        <v>64</v>
      </c>
      <c r="D9" s="1058"/>
      <c r="E9" s="1058"/>
      <c r="F9" s="1058"/>
      <c r="G9" s="1058"/>
      <c r="H9" s="1058"/>
      <c r="I9" s="1058"/>
      <c r="J9" s="1058"/>
      <c r="K9" s="1058"/>
      <c r="L9" s="1058"/>
      <c r="M9" s="326"/>
    </row>
    <row r="10" spans="2:23" ht="22" customHeight="1" x14ac:dyDescent="0.3">
      <c r="B10" s="171"/>
      <c r="C10" s="1043" t="s">
        <v>700</v>
      </c>
      <c r="D10" s="1043"/>
      <c r="E10" s="1043"/>
      <c r="F10" s="1043"/>
      <c r="G10" s="1043"/>
      <c r="H10" s="1043"/>
      <c r="I10" s="1043"/>
      <c r="J10" s="1043"/>
      <c r="K10" s="1043"/>
      <c r="L10" s="1043"/>
      <c r="M10" s="326"/>
    </row>
    <row r="11" spans="2:23" ht="22" customHeight="1" x14ac:dyDescent="0.3">
      <c r="B11" s="171"/>
      <c r="C11" s="1043" t="s">
        <v>829</v>
      </c>
      <c r="D11" s="1043"/>
      <c r="E11" s="1043"/>
      <c r="F11" s="1043"/>
      <c r="G11" s="1043"/>
      <c r="H11" s="1043"/>
      <c r="I11" s="1043"/>
      <c r="J11" s="1043"/>
      <c r="K11" s="1043"/>
      <c r="L11" s="1043"/>
      <c r="M11" s="326"/>
    </row>
    <row r="12" spans="2:23" ht="22" customHeight="1" x14ac:dyDescent="0.3">
      <c r="B12" s="171"/>
      <c r="C12" s="1043" t="s">
        <v>613</v>
      </c>
      <c r="D12" s="1043"/>
      <c r="E12" s="1043"/>
      <c r="F12" s="1043"/>
      <c r="G12" s="1043"/>
      <c r="H12" s="1043"/>
      <c r="I12" s="1043"/>
      <c r="J12" s="1043"/>
      <c r="K12" s="1043"/>
      <c r="L12" s="1043"/>
      <c r="M12" s="326"/>
    </row>
    <row r="13" spans="2:23" ht="10" customHeight="1" thickBot="1" x14ac:dyDescent="0.35">
      <c r="B13" s="171"/>
      <c r="E13" s="433"/>
      <c r="F13" s="434"/>
      <c r="G13" s="433"/>
      <c r="H13" s="433"/>
      <c r="I13" s="433"/>
      <c r="M13" s="326"/>
    </row>
    <row r="14" spans="2:23" s="62" customFormat="1" ht="22" customHeight="1" x14ac:dyDescent="0.35">
      <c r="B14" s="118"/>
      <c r="C14" s="472"/>
      <c r="D14" s="1070" t="s">
        <v>381</v>
      </c>
      <c r="E14" s="1071"/>
      <c r="F14" s="1072"/>
      <c r="G14" s="1065" t="s">
        <v>388</v>
      </c>
      <c r="H14" s="1066"/>
      <c r="I14" s="1067"/>
      <c r="J14" s="1062" t="s">
        <v>607</v>
      </c>
      <c r="K14" s="1063"/>
      <c r="L14" s="1064"/>
      <c r="M14" s="119"/>
      <c r="O14" s="1055" t="s">
        <v>830</v>
      </c>
      <c r="P14" s="197"/>
      <c r="Q14" s="199"/>
      <c r="R14" s="199"/>
      <c r="S14" s="199"/>
      <c r="T14" s="199"/>
    </row>
    <row r="15" spans="2:23" s="370" customFormat="1" ht="74" customHeight="1" x14ac:dyDescent="0.3">
      <c r="B15" s="439"/>
      <c r="C15" s="473"/>
      <c r="D15" s="474" t="s">
        <v>384</v>
      </c>
      <c r="E15" s="475" t="s">
        <v>385</v>
      </c>
      <c r="F15" s="476" t="s">
        <v>588</v>
      </c>
      <c r="G15" s="477" t="s">
        <v>589</v>
      </c>
      <c r="H15" s="478" t="s">
        <v>375</v>
      </c>
      <c r="I15" s="476" t="s">
        <v>604</v>
      </c>
      <c r="J15" s="477" t="s">
        <v>605</v>
      </c>
      <c r="K15" s="475" t="s">
        <v>606</v>
      </c>
      <c r="L15" s="476" t="s">
        <v>387</v>
      </c>
      <c r="M15" s="446"/>
      <c r="N15" s="439"/>
      <c r="O15" s="1056"/>
      <c r="P15" s="471"/>
      <c r="Q15" s="448" t="s">
        <v>414</v>
      </c>
      <c r="R15" s="448" t="s">
        <v>616</v>
      </c>
      <c r="S15" s="448" t="s">
        <v>617</v>
      </c>
      <c r="T15" s="448" t="s">
        <v>618</v>
      </c>
    </row>
    <row r="16" spans="2:23" s="370" customFormat="1" ht="16" customHeight="1" x14ac:dyDescent="0.3">
      <c r="B16" s="439"/>
      <c r="C16" s="473"/>
      <c r="D16" s="474"/>
      <c r="E16" s="479" t="s">
        <v>615</v>
      </c>
      <c r="F16" s="1068" t="s">
        <v>615</v>
      </c>
      <c r="G16" s="480"/>
      <c r="H16" s="479" t="s">
        <v>615</v>
      </c>
      <c r="I16" s="481"/>
      <c r="J16" s="754" t="str">
        <f>IF(J17="","","maximum")</f>
        <v/>
      </c>
      <c r="K16" s="755" t="str">
        <f>IF(K17="","","maximum")</f>
        <v/>
      </c>
      <c r="L16" s="476"/>
      <c r="M16" s="446"/>
      <c r="N16" s="439"/>
      <c r="O16" s="1056"/>
      <c r="P16" s="471"/>
      <c r="Q16" s="448"/>
      <c r="R16" s="448"/>
      <c r="S16" s="448"/>
      <c r="T16" s="448"/>
      <c r="W16" s="482" t="s">
        <v>565</v>
      </c>
    </row>
    <row r="17" spans="2:20" s="370" customFormat="1" ht="16" customHeight="1" x14ac:dyDescent="0.3">
      <c r="B17" s="439"/>
      <c r="C17" s="483"/>
      <c r="D17" s="484"/>
      <c r="E17" s="485"/>
      <c r="F17" s="1069"/>
      <c r="G17" s="486"/>
      <c r="H17" s="487"/>
      <c r="I17" s="488"/>
      <c r="J17" s="756" t="str">
        <f>IF(DEMANDE_Calendrier_Tournée!V77=0,"",DEMANDE_Calendrier_Tournée!V77)</f>
        <v/>
      </c>
      <c r="K17" s="757" t="str">
        <f>IF(DEMANDE_Calendrier_Tournée!V76=0,"",DEMANDE_Calendrier_Tournée!V76)</f>
        <v/>
      </c>
      <c r="L17" s="489"/>
      <c r="M17" s="446"/>
      <c r="N17" s="439"/>
      <c r="O17" s="1057"/>
      <c r="P17" s="471"/>
      <c r="Q17" s="448"/>
      <c r="R17" s="448"/>
      <c r="S17" s="448"/>
      <c r="T17" s="448"/>
    </row>
    <row r="18" spans="2:20" s="62" customFormat="1" ht="16.5" x14ac:dyDescent="0.35">
      <c r="B18" s="118"/>
      <c r="C18" s="490">
        <v>1</v>
      </c>
      <c r="D18" s="70"/>
      <c r="E18" s="13"/>
      <c r="F18" s="66"/>
      <c r="G18" s="67"/>
      <c r="H18" s="30"/>
      <c r="I18" s="752">
        <f>IF(F18="",0,IF(G18="","",IF(F18="Non",0,IF(AND(R18&lt;&gt;0,T18=3),0,IF(G18*0.4&gt;Q18,Q18,G18*0.4)))))</f>
        <v>0</v>
      </c>
      <c r="J18" s="758" t="str">
        <f>IF(D18="","",IF(DEMANDE_Calendrier_Tournée!$V$77=0,"",DEMANDE_Calendrier_Tournée!$V$77))</f>
        <v/>
      </c>
      <c r="K18" s="759" t="str">
        <f>IF(D18="","",IF(DEMANDE_Calendrier_Tournée!$V$76=0,"",DEMANDE_Calendrier_Tournée!$V$76))</f>
        <v/>
      </c>
      <c r="L18" s="752">
        <f>IF(DEMANDE_Calendrier_Tournée!$H$22="",0,IF(F18="non",0,IF(F18="",0,IF(AND(R18&lt;&gt;0,T18=3),0,IF(J18="",(K18*80),IF(K18="",J18*140,((J18*140)+(K18*80))))))))</f>
        <v>0</v>
      </c>
      <c r="M18" s="119"/>
      <c r="N18" s="491"/>
      <c r="O18" s="492"/>
      <c r="P18" s="493"/>
      <c r="Q18" s="263">
        <f>IF(ISERROR(SEARCH("A -",H18)),IF(ISERROR(SEARCH("B -",H18)),IF(ISERROR(SEARCH("C -",H18)),0,800),600),400)</f>
        <v>0</v>
      </c>
      <c r="R18" s="263">
        <f>IF(E18="Éclairagiste",1,IF(E18="Directeur (trice) de tournée",1,IF(E18="Technicien (cienne) de son",1,IF(E18="Préposé(e) aux instruments",1,0))))</f>
        <v>0</v>
      </c>
      <c r="S18" s="263">
        <f>+R18</f>
        <v>0</v>
      </c>
      <c r="T18" s="263">
        <f>IF(S18&gt;3,3,0)</f>
        <v>0</v>
      </c>
    </row>
    <row r="19" spans="2:20" s="62" customFormat="1" ht="16.5" x14ac:dyDescent="0.35">
      <c r="B19" s="118"/>
      <c r="C19" s="490">
        <v>2</v>
      </c>
      <c r="D19" s="70"/>
      <c r="E19" s="13"/>
      <c r="F19" s="66"/>
      <c r="G19" s="67"/>
      <c r="H19" s="30"/>
      <c r="I19" s="752">
        <f t="shared" ref="I19:I32" si="0">IF(F19="",0,IF(G19="","",IF(F19="Non",0,IF(AND(R19&lt;&gt;0,T19=3),0,IF(G19*0.4&gt;Q19,Q19,G19*0.4)))))</f>
        <v>0</v>
      </c>
      <c r="J19" s="758" t="str">
        <f>IF(D19="","",IF(DEMANDE_Calendrier_Tournée!$V$77=0,"",DEMANDE_Calendrier_Tournée!$V$77))</f>
        <v/>
      </c>
      <c r="K19" s="759" t="str">
        <f>IF(D19="","",IF(DEMANDE_Calendrier_Tournée!$V$76=0,"",DEMANDE_Calendrier_Tournée!$V$76))</f>
        <v/>
      </c>
      <c r="L19" s="752">
        <f>IF(DEMANDE_Calendrier_Tournée!$H$22="",0,IF(F19="non",0,IF(F19="",0,IF(AND(R19&lt;&gt;0,T19=3),0,IF(J19="",(K19*80),IF(K19="",J19*140,((J19*140)+(K19*80))))))))</f>
        <v>0</v>
      </c>
      <c r="M19" s="119"/>
      <c r="O19" s="492"/>
      <c r="P19" s="493"/>
      <c r="Q19" s="263">
        <f t="shared" ref="Q19:Q32" si="1">IF(ISERROR(SEARCH("A -",H19)),IF(ISERROR(SEARCH("B -",H19)),IF(ISERROR(SEARCH("C -",H19)),0,800),600),400)</f>
        <v>0</v>
      </c>
      <c r="R19" s="263">
        <f t="shared" ref="R19:R32" si="2">IF(E19="Éclairagiste",1,IF(E19="Directeur (trice) de tournée",1,IF(E19="Technicien (cienne) de son",1,IF(E19="Préposé(e) aux instruments",1,0))))</f>
        <v>0</v>
      </c>
      <c r="S19" s="263">
        <f>+S18+R19</f>
        <v>0</v>
      </c>
      <c r="T19" s="263">
        <f t="shared" ref="T19:T32" si="3">IF(S19&gt;3,3,0)</f>
        <v>0</v>
      </c>
    </row>
    <row r="20" spans="2:20" s="62" customFormat="1" x14ac:dyDescent="0.35">
      <c r="B20" s="118"/>
      <c r="C20" s="490">
        <v>3</v>
      </c>
      <c r="D20" s="70"/>
      <c r="E20" s="13"/>
      <c r="F20" s="66"/>
      <c r="G20" s="67"/>
      <c r="H20" s="30"/>
      <c r="I20" s="752">
        <f t="shared" si="0"/>
        <v>0</v>
      </c>
      <c r="J20" s="758" t="str">
        <f>IF(D20="","",IF(DEMANDE_Calendrier_Tournée!$V$77=0,"",DEMANDE_Calendrier_Tournée!$V$77))</f>
        <v/>
      </c>
      <c r="K20" s="759" t="str">
        <f>IF(D20="","",IF(DEMANDE_Calendrier_Tournée!$V$76=0,"",DEMANDE_Calendrier_Tournée!$V$76))</f>
        <v/>
      </c>
      <c r="L20" s="752">
        <f>IF(DEMANDE_Calendrier_Tournée!$H$22="",0,IF(F20="non",0,IF(F20="",0,IF(AND(R20&lt;&gt;0,T20=3),0,IF(J20="",(K20*80),IF(K20="",J20*140,((J20*140)+(K20*80))))))))</f>
        <v>0</v>
      </c>
      <c r="M20" s="119"/>
      <c r="O20" s="494"/>
      <c r="P20" s="495"/>
      <c r="Q20" s="263">
        <f t="shared" si="1"/>
        <v>0</v>
      </c>
      <c r="R20" s="263">
        <f t="shared" si="2"/>
        <v>0</v>
      </c>
      <c r="S20" s="263">
        <f t="shared" ref="S20:S32" si="4">+S19+R20</f>
        <v>0</v>
      </c>
      <c r="T20" s="263">
        <f t="shared" si="3"/>
        <v>0</v>
      </c>
    </row>
    <row r="21" spans="2:20" s="62" customFormat="1" ht="16.5" x14ac:dyDescent="0.35">
      <c r="B21" s="118"/>
      <c r="C21" s="490">
        <v>4</v>
      </c>
      <c r="D21" s="70"/>
      <c r="E21" s="13"/>
      <c r="F21" s="66"/>
      <c r="G21" s="67"/>
      <c r="H21" s="30"/>
      <c r="I21" s="752">
        <f t="shared" si="0"/>
        <v>0</v>
      </c>
      <c r="J21" s="758" t="str">
        <f>IF(D21="","",IF(DEMANDE_Calendrier_Tournée!$V$77=0,"",DEMANDE_Calendrier_Tournée!$V$77))</f>
        <v/>
      </c>
      <c r="K21" s="759" t="str">
        <f>IF(D21="","",IF(DEMANDE_Calendrier_Tournée!$V$76=0,"",DEMANDE_Calendrier_Tournée!$V$76))</f>
        <v/>
      </c>
      <c r="L21" s="752">
        <f>IF(DEMANDE_Calendrier_Tournée!$H$22="",0,IF(F21="non",0,IF(F21="",0,IF(AND(R21&lt;&gt;0,T21=3),0,IF(J21="",(K21*80),IF(K21="",J21*140,((J21*140)+(K21*80))))))))</f>
        <v>0</v>
      </c>
      <c r="M21" s="119"/>
      <c r="O21" s="1061" t="str">
        <f>IF(Q37&gt;3,"Le nombre maximal de techniciens/directeurs (trice) de tournée admissibles est de trois","")</f>
        <v/>
      </c>
      <c r="P21" s="496"/>
      <c r="Q21" s="263">
        <f t="shared" si="1"/>
        <v>0</v>
      </c>
      <c r="R21" s="263">
        <f t="shared" si="2"/>
        <v>0</v>
      </c>
      <c r="S21" s="263">
        <f t="shared" si="4"/>
        <v>0</v>
      </c>
      <c r="T21" s="263">
        <f t="shared" si="3"/>
        <v>0</v>
      </c>
    </row>
    <row r="22" spans="2:20" s="62" customFormat="1" ht="16.5" x14ac:dyDescent="0.35">
      <c r="B22" s="118"/>
      <c r="C22" s="490">
        <v>5</v>
      </c>
      <c r="D22" s="70"/>
      <c r="E22" s="13"/>
      <c r="F22" s="66"/>
      <c r="G22" s="67"/>
      <c r="H22" s="30"/>
      <c r="I22" s="752">
        <f t="shared" si="0"/>
        <v>0</v>
      </c>
      <c r="J22" s="758" t="str">
        <f>IF(D22="","",IF(DEMANDE_Calendrier_Tournée!$V$77=0,"",DEMANDE_Calendrier_Tournée!$V$77))</f>
        <v/>
      </c>
      <c r="K22" s="759" t="str">
        <f>IF(D22="","",IF(DEMANDE_Calendrier_Tournée!$V$76=0,"",DEMANDE_Calendrier_Tournée!$V$76))</f>
        <v/>
      </c>
      <c r="L22" s="752">
        <f>IF(DEMANDE_Calendrier_Tournée!$H$22="",0,IF(F22="non",0,IF(F22="",0,IF(AND(R22&lt;&gt;0,T22=3),0,IF(J22="",(K22*80),IF(K22="",J22*140,((J22*140)+(K22*80))))))))</f>
        <v>0</v>
      </c>
      <c r="M22" s="119"/>
      <c r="O22" s="1061"/>
      <c r="P22" s="496"/>
      <c r="Q22" s="263">
        <f t="shared" si="1"/>
        <v>0</v>
      </c>
      <c r="R22" s="263">
        <f t="shared" si="2"/>
        <v>0</v>
      </c>
      <c r="S22" s="263">
        <f t="shared" si="4"/>
        <v>0</v>
      </c>
      <c r="T22" s="263">
        <f t="shared" si="3"/>
        <v>0</v>
      </c>
    </row>
    <row r="23" spans="2:20" s="62" customFormat="1" ht="16.5" x14ac:dyDescent="0.35">
      <c r="B23" s="118"/>
      <c r="C23" s="490">
        <v>6</v>
      </c>
      <c r="D23" s="70"/>
      <c r="E23" s="13"/>
      <c r="F23" s="66"/>
      <c r="G23" s="67"/>
      <c r="H23" s="30"/>
      <c r="I23" s="752">
        <f t="shared" si="0"/>
        <v>0</v>
      </c>
      <c r="J23" s="758" t="str">
        <f>IF(D23="","",IF(DEMANDE_Calendrier_Tournée!$V$77=0,"",DEMANDE_Calendrier_Tournée!$V$77))</f>
        <v/>
      </c>
      <c r="K23" s="759" t="str">
        <f>IF(D23="","",IF(DEMANDE_Calendrier_Tournée!$V$76=0,"",DEMANDE_Calendrier_Tournée!$V$76))</f>
        <v/>
      </c>
      <c r="L23" s="752">
        <f>IF(DEMANDE_Calendrier_Tournée!$H$22="",0,IF(F23="non",0,IF(F23="",0,IF(AND(R23&lt;&gt;0,T23=3),0,IF(J23="",(K23*80),IF(K23="",J23*140,((J23*140)+(K23*80))))))))</f>
        <v>0</v>
      </c>
      <c r="M23" s="119"/>
      <c r="O23" s="1061"/>
      <c r="P23" s="496"/>
      <c r="Q23" s="263">
        <f t="shared" si="1"/>
        <v>0</v>
      </c>
      <c r="R23" s="263">
        <f t="shared" si="2"/>
        <v>0</v>
      </c>
      <c r="S23" s="263">
        <f t="shared" si="4"/>
        <v>0</v>
      </c>
      <c r="T23" s="263">
        <f t="shared" si="3"/>
        <v>0</v>
      </c>
    </row>
    <row r="24" spans="2:20" s="62" customFormat="1" ht="16.5" x14ac:dyDescent="0.35">
      <c r="B24" s="118"/>
      <c r="C24" s="490">
        <v>7</v>
      </c>
      <c r="D24" s="70"/>
      <c r="E24" s="13"/>
      <c r="F24" s="66"/>
      <c r="G24" s="67"/>
      <c r="H24" s="30"/>
      <c r="I24" s="752">
        <f t="shared" si="0"/>
        <v>0</v>
      </c>
      <c r="J24" s="758" t="str">
        <f>IF(D24="","",IF(DEMANDE_Calendrier_Tournée!$V$77=0,"",DEMANDE_Calendrier_Tournée!$V$77))</f>
        <v/>
      </c>
      <c r="K24" s="759" t="str">
        <f>IF(D24="","",IF(DEMANDE_Calendrier_Tournée!$V$76=0,"",DEMANDE_Calendrier_Tournée!$V$76))</f>
        <v/>
      </c>
      <c r="L24" s="752">
        <f>IF(DEMANDE_Calendrier_Tournée!$H$22="",0,IF(F24="non",0,IF(F24="",0,IF(AND(R24&lt;&gt;0,T24=3),0,IF(J24="",(K24*80),IF(K24="",J24*140,((J24*140)+(K24*80))))))))</f>
        <v>0</v>
      </c>
      <c r="M24" s="119"/>
      <c r="O24" s="1061"/>
      <c r="P24" s="496"/>
      <c r="Q24" s="263">
        <f t="shared" si="1"/>
        <v>0</v>
      </c>
      <c r="R24" s="263">
        <f t="shared" si="2"/>
        <v>0</v>
      </c>
      <c r="S24" s="263">
        <f t="shared" si="4"/>
        <v>0</v>
      </c>
      <c r="T24" s="263">
        <f t="shared" si="3"/>
        <v>0</v>
      </c>
    </row>
    <row r="25" spans="2:20" s="62" customFormat="1" ht="16.5" x14ac:dyDescent="0.35">
      <c r="B25" s="118"/>
      <c r="C25" s="490">
        <v>8</v>
      </c>
      <c r="D25" s="70"/>
      <c r="E25" s="13"/>
      <c r="F25" s="66"/>
      <c r="G25" s="67"/>
      <c r="H25" s="30"/>
      <c r="I25" s="752">
        <f t="shared" si="0"/>
        <v>0</v>
      </c>
      <c r="J25" s="758" t="str">
        <f>IF(D25="","",IF(DEMANDE_Calendrier_Tournée!$V$77=0,"",DEMANDE_Calendrier_Tournée!$V$77))</f>
        <v/>
      </c>
      <c r="K25" s="759" t="str">
        <f>IF(D25="","",IF(DEMANDE_Calendrier_Tournée!$V$76=0,"",DEMANDE_Calendrier_Tournée!$V$76))</f>
        <v/>
      </c>
      <c r="L25" s="752">
        <f>IF(DEMANDE_Calendrier_Tournée!$H$22="",0,IF(F25="non",0,IF(F25="",0,IF(AND(R25&lt;&gt;0,T25=3),0,IF(J25="",(K25*80),IF(K25="",J25*140,((J25*140)+(K25*80))))))))</f>
        <v>0</v>
      </c>
      <c r="M25" s="119"/>
      <c r="O25" s="1061"/>
      <c r="P25" s="496"/>
      <c r="Q25" s="263">
        <f t="shared" si="1"/>
        <v>0</v>
      </c>
      <c r="R25" s="263">
        <f t="shared" si="2"/>
        <v>0</v>
      </c>
      <c r="S25" s="263">
        <f t="shared" si="4"/>
        <v>0</v>
      </c>
      <c r="T25" s="263">
        <f t="shared" si="3"/>
        <v>0</v>
      </c>
    </row>
    <row r="26" spans="2:20" s="62" customFormat="1" ht="16.5" x14ac:dyDescent="0.35">
      <c r="B26" s="118"/>
      <c r="C26" s="490">
        <v>9</v>
      </c>
      <c r="D26" s="70"/>
      <c r="E26" s="13"/>
      <c r="F26" s="66"/>
      <c r="G26" s="67"/>
      <c r="H26" s="30"/>
      <c r="I26" s="752">
        <f t="shared" si="0"/>
        <v>0</v>
      </c>
      <c r="J26" s="758" t="str">
        <f>IF(D26="","",IF(DEMANDE_Calendrier_Tournée!$V$77=0,"",DEMANDE_Calendrier_Tournée!$V$77))</f>
        <v/>
      </c>
      <c r="K26" s="759" t="str">
        <f>IF(D26="","",IF(DEMANDE_Calendrier_Tournée!$V$76=0,"",DEMANDE_Calendrier_Tournée!$V$76))</f>
        <v/>
      </c>
      <c r="L26" s="752">
        <f>IF(DEMANDE_Calendrier_Tournée!$H$22="",0,IF(F26="non",0,IF(F26="",0,IF(AND(R26&lt;&gt;0,T26=3),0,IF(J26="",(K26*80),IF(K26="",J26*140,((J26*140)+(K26*80))))))))</f>
        <v>0</v>
      </c>
      <c r="M26" s="119"/>
      <c r="O26" s="1061"/>
      <c r="P26" s="496"/>
      <c r="Q26" s="263">
        <f t="shared" si="1"/>
        <v>0</v>
      </c>
      <c r="R26" s="263">
        <f t="shared" si="2"/>
        <v>0</v>
      </c>
      <c r="S26" s="263">
        <f t="shared" si="4"/>
        <v>0</v>
      </c>
      <c r="T26" s="263">
        <f t="shared" si="3"/>
        <v>0</v>
      </c>
    </row>
    <row r="27" spans="2:20" s="62" customFormat="1" ht="16.5" x14ac:dyDescent="0.35">
      <c r="B27" s="118"/>
      <c r="C27" s="490">
        <v>10</v>
      </c>
      <c r="D27" s="70"/>
      <c r="E27" s="13"/>
      <c r="F27" s="66"/>
      <c r="G27" s="67"/>
      <c r="H27" s="30"/>
      <c r="I27" s="752">
        <f t="shared" si="0"/>
        <v>0</v>
      </c>
      <c r="J27" s="758" t="str">
        <f>IF(D27="","",IF(DEMANDE_Calendrier_Tournée!$V$77=0,"",DEMANDE_Calendrier_Tournée!$V$77))</f>
        <v/>
      </c>
      <c r="K27" s="759" t="str">
        <f>IF(D27="","",IF(DEMANDE_Calendrier_Tournée!$V$76=0,"",DEMANDE_Calendrier_Tournée!$V$76))</f>
        <v/>
      </c>
      <c r="L27" s="752">
        <f>IF(DEMANDE_Calendrier_Tournée!$H$22="",0,IF(F27="non",0,IF(F27="",0,IF(AND(R27&lt;&gt;0,T27=3),0,IF(J27="",(K27*80),IF(K27="",J27*140,((J27*140)+(K27*80))))))))</f>
        <v>0</v>
      </c>
      <c r="M27" s="119"/>
      <c r="O27" s="1061"/>
      <c r="P27" s="496"/>
      <c r="Q27" s="263">
        <f t="shared" si="1"/>
        <v>0</v>
      </c>
      <c r="R27" s="263">
        <f t="shared" si="2"/>
        <v>0</v>
      </c>
      <c r="S27" s="263">
        <f t="shared" si="4"/>
        <v>0</v>
      </c>
      <c r="T27" s="263">
        <f t="shared" si="3"/>
        <v>0</v>
      </c>
    </row>
    <row r="28" spans="2:20" s="62" customFormat="1" ht="16.5" x14ac:dyDescent="0.35">
      <c r="B28" s="118"/>
      <c r="C28" s="490">
        <v>11</v>
      </c>
      <c r="D28" s="70"/>
      <c r="E28" s="13"/>
      <c r="F28" s="66"/>
      <c r="G28" s="67"/>
      <c r="H28" s="30"/>
      <c r="I28" s="752">
        <f t="shared" si="0"/>
        <v>0</v>
      </c>
      <c r="J28" s="758" t="str">
        <f>IF(D28="","",IF(DEMANDE_Calendrier_Tournée!$V$77=0,"",DEMANDE_Calendrier_Tournée!$V$77))</f>
        <v/>
      </c>
      <c r="K28" s="759" t="str">
        <f>IF(D28="","",IF(DEMANDE_Calendrier_Tournée!$V$76=0,"",DEMANDE_Calendrier_Tournée!$V$76))</f>
        <v/>
      </c>
      <c r="L28" s="752">
        <f>IF(DEMANDE_Calendrier_Tournée!$H$22="",0,IF(F28="non",0,IF(F28="",0,IF(AND(R28&lt;&gt;0,T28=3),0,IF(J28="",(K28*80),IF(K28="",J28*140,((J28*140)+(K28*80))))))))</f>
        <v>0</v>
      </c>
      <c r="M28" s="119"/>
      <c r="O28" s="497"/>
      <c r="P28" s="496"/>
      <c r="Q28" s="263">
        <f t="shared" si="1"/>
        <v>0</v>
      </c>
      <c r="R28" s="263">
        <f t="shared" si="2"/>
        <v>0</v>
      </c>
      <c r="S28" s="263">
        <f t="shared" si="4"/>
        <v>0</v>
      </c>
      <c r="T28" s="263">
        <f t="shared" si="3"/>
        <v>0</v>
      </c>
    </row>
    <row r="29" spans="2:20" s="62" customFormat="1" ht="16.5" x14ac:dyDescent="0.35">
      <c r="B29" s="118"/>
      <c r="C29" s="490">
        <v>12</v>
      </c>
      <c r="D29" s="70"/>
      <c r="E29" s="13"/>
      <c r="F29" s="66"/>
      <c r="G29" s="67"/>
      <c r="H29" s="30"/>
      <c r="I29" s="752">
        <f t="shared" si="0"/>
        <v>0</v>
      </c>
      <c r="J29" s="758" t="str">
        <f>IF(D29="","",IF(DEMANDE_Calendrier_Tournée!$V$77=0,"",DEMANDE_Calendrier_Tournée!$V$77))</f>
        <v/>
      </c>
      <c r="K29" s="759" t="str">
        <f>IF(D29="","",IF(DEMANDE_Calendrier_Tournée!$V$76=0,"",DEMANDE_Calendrier_Tournée!$V$76))</f>
        <v/>
      </c>
      <c r="L29" s="752">
        <f>IF(DEMANDE_Calendrier_Tournée!$H$22="",0,IF(F29="non",0,IF(F29="",0,IF(AND(R29&lt;&gt;0,T29=3),0,IF(J29="",(K29*80),IF(K29="",J29*140,((J29*140)+(K29*80))))))))</f>
        <v>0</v>
      </c>
      <c r="M29" s="119"/>
      <c r="O29" s="497"/>
      <c r="P29" s="496"/>
      <c r="Q29" s="263">
        <f t="shared" si="1"/>
        <v>0</v>
      </c>
      <c r="R29" s="263">
        <f t="shared" si="2"/>
        <v>0</v>
      </c>
      <c r="S29" s="263">
        <f t="shared" si="4"/>
        <v>0</v>
      </c>
      <c r="T29" s="263">
        <f t="shared" si="3"/>
        <v>0</v>
      </c>
    </row>
    <row r="30" spans="2:20" s="62" customFormat="1" x14ac:dyDescent="0.35">
      <c r="B30" s="118"/>
      <c r="C30" s="490">
        <v>13</v>
      </c>
      <c r="D30" s="70"/>
      <c r="E30" s="13"/>
      <c r="F30" s="66"/>
      <c r="G30" s="67"/>
      <c r="H30" s="30"/>
      <c r="I30" s="752">
        <f t="shared" si="0"/>
        <v>0</v>
      </c>
      <c r="J30" s="758" t="str">
        <f>IF(D30="","",IF(DEMANDE_Calendrier_Tournée!$V$77=0,"",DEMANDE_Calendrier_Tournée!$V$77))</f>
        <v/>
      </c>
      <c r="K30" s="759" t="str">
        <f>IF(D30="","",IF(DEMANDE_Calendrier_Tournée!$V$76=0,"",DEMANDE_Calendrier_Tournée!$V$76))</f>
        <v/>
      </c>
      <c r="L30" s="752">
        <f>IF(DEMANDE_Calendrier_Tournée!$H$22="",0,IF(F30="non",0,IF(F30="",0,IF(AND(R30&lt;&gt;0,T30=3),0,IF(J30="",(K30*80),IF(K30="",J30*140,((J30*140)+(K30*80))))))))</f>
        <v>0</v>
      </c>
      <c r="M30" s="119"/>
      <c r="P30" s="197"/>
      <c r="Q30" s="263">
        <f t="shared" si="1"/>
        <v>0</v>
      </c>
      <c r="R30" s="263">
        <f t="shared" si="2"/>
        <v>0</v>
      </c>
      <c r="S30" s="263">
        <f t="shared" si="4"/>
        <v>0</v>
      </c>
      <c r="T30" s="263">
        <f t="shared" si="3"/>
        <v>0</v>
      </c>
    </row>
    <row r="31" spans="2:20" s="62" customFormat="1" x14ac:dyDescent="0.35">
      <c r="B31" s="118"/>
      <c r="C31" s="490">
        <v>14</v>
      </c>
      <c r="D31" s="70"/>
      <c r="E31" s="13"/>
      <c r="F31" s="66"/>
      <c r="G31" s="67"/>
      <c r="H31" s="30"/>
      <c r="I31" s="752">
        <f t="shared" si="0"/>
        <v>0</v>
      </c>
      <c r="J31" s="758" t="str">
        <f>IF(D31="","",IF(DEMANDE_Calendrier_Tournée!$V$77=0,"",DEMANDE_Calendrier_Tournée!$V$77))</f>
        <v/>
      </c>
      <c r="K31" s="759" t="str">
        <f>IF(D31="","",IF(DEMANDE_Calendrier_Tournée!$V$76=0,"",DEMANDE_Calendrier_Tournée!$V$76))</f>
        <v/>
      </c>
      <c r="L31" s="752">
        <f>IF(DEMANDE_Calendrier_Tournée!$H$22="",0,IF(F31="non",0,IF(F31="",0,IF(AND(R31&lt;&gt;0,T31=3),0,IF(J31="",(K31*80),IF(K31="",J31*140,((J31*140)+(K31*80))))))))</f>
        <v>0</v>
      </c>
      <c r="M31" s="119"/>
      <c r="P31" s="197"/>
      <c r="Q31" s="263">
        <f t="shared" si="1"/>
        <v>0</v>
      </c>
      <c r="R31" s="263">
        <f t="shared" si="2"/>
        <v>0</v>
      </c>
      <c r="S31" s="263">
        <f t="shared" si="4"/>
        <v>0</v>
      </c>
      <c r="T31" s="263">
        <f t="shared" si="3"/>
        <v>0</v>
      </c>
    </row>
    <row r="32" spans="2:20" s="62" customFormat="1" ht="14.5" thickBot="1" x14ac:dyDescent="0.4">
      <c r="B32" s="118"/>
      <c r="C32" s="683">
        <v>15</v>
      </c>
      <c r="D32" s="684"/>
      <c r="E32" s="685"/>
      <c r="F32" s="686"/>
      <c r="G32" s="677"/>
      <c r="H32" s="678"/>
      <c r="I32" s="753">
        <f t="shared" si="0"/>
        <v>0</v>
      </c>
      <c r="J32" s="760" t="str">
        <f>IF(D32="","",IF(DEMANDE_Calendrier_Tournée!$V$77=0,"",DEMANDE_Calendrier_Tournée!$V$77))</f>
        <v/>
      </c>
      <c r="K32" s="761" t="str">
        <f>IF(D32="","",IF(DEMANDE_Calendrier_Tournée!$V$76=0,"",DEMANDE_Calendrier_Tournée!$V$76))</f>
        <v/>
      </c>
      <c r="L32" s="753">
        <f>IF(DEMANDE_Calendrier_Tournée!$H$22="",0,IF(F32="non",0,IF(F32="",0,IF(AND(R32&lt;&gt;0,T32=3),0,IF(J32="",(K32*80),IF(K32="",J32*140,((J32*140)+(K32*80))))))))</f>
        <v>0</v>
      </c>
      <c r="M32" s="119"/>
      <c r="P32" s="197"/>
      <c r="Q32" s="263">
        <f t="shared" si="1"/>
        <v>0</v>
      </c>
      <c r="R32" s="263">
        <f t="shared" si="2"/>
        <v>0</v>
      </c>
      <c r="S32" s="263">
        <f t="shared" si="4"/>
        <v>0</v>
      </c>
      <c r="T32" s="263">
        <f t="shared" si="3"/>
        <v>0</v>
      </c>
    </row>
    <row r="33" spans="2:20" s="62" customFormat="1" ht="22" customHeight="1" thickBot="1" x14ac:dyDescent="0.4">
      <c r="B33" s="118"/>
      <c r="C33" s="687"/>
      <c r="D33" s="688"/>
      <c r="E33" s="688"/>
      <c r="F33" s="689" t="s">
        <v>407</v>
      </c>
      <c r="G33" s="679">
        <f>SUM(G18:G32)</f>
        <v>0</v>
      </c>
      <c r="H33" s="680"/>
      <c r="I33" s="681">
        <f>SUM(I18:I32)</f>
        <v>0</v>
      </c>
      <c r="J33" s="1059" t="s">
        <v>407</v>
      </c>
      <c r="K33" s="1060"/>
      <c r="L33" s="681">
        <f>SUM(L18:L32)</f>
        <v>0</v>
      </c>
      <c r="M33" s="119"/>
      <c r="P33" s="499" t="s">
        <v>832</v>
      </c>
      <c r="Q33" s="263">
        <f>SUM(COUNTIF(F18:F32,"Oui")+SUM(COUNTIF(F18:F32,"Non")))</f>
        <v>0</v>
      </c>
      <c r="R33" s="263"/>
    </row>
    <row r="34" spans="2:20" ht="10" customHeight="1" thickBot="1" x14ac:dyDescent="0.35">
      <c r="B34" s="193"/>
      <c r="C34" s="458"/>
      <c r="D34" s="458"/>
      <c r="E34" s="459"/>
      <c r="F34" s="460"/>
      <c r="G34" s="459"/>
      <c r="H34" s="459"/>
      <c r="I34" s="459"/>
      <c r="J34" s="461"/>
      <c r="K34" s="460"/>
      <c r="L34" s="459"/>
      <c r="M34" s="382"/>
      <c r="P34" s="500"/>
      <c r="Q34" s="263"/>
      <c r="R34" s="263"/>
    </row>
    <row r="35" spans="2:20" ht="15" thickBot="1" x14ac:dyDescent="0.35">
      <c r="O35" s="38"/>
      <c r="P35" s="499" t="s">
        <v>831</v>
      </c>
      <c r="Q35" s="263">
        <f>SUM(COUNTIF(F18:F32,"Oui"))</f>
        <v>0</v>
      </c>
      <c r="R35" s="263"/>
    </row>
    <row r="36" spans="2:20" s="62" customFormat="1" ht="44" customHeight="1" x14ac:dyDescent="0.35">
      <c r="B36" s="501"/>
      <c r="C36" s="1053" t="s">
        <v>701</v>
      </c>
      <c r="D36" s="1053"/>
      <c r="E36" s="1053"/>
      <c r="F36" s="1053"/>
      <c r="G36" s="1053"/>
      <c r="H36" s="1053"/>
      <c r="I36" s="1053"/>
      <c r="J36" s="1053"/>
      <c r="K36" s="1053"/>
      <c r="L36" s="1053"/>
      <c r="M36" s="502"/>
      <c r="P36" s="499" t="s">
        <v>573</v>
      </c>
      <c r="Q36" s="263">
        <f>SUM(COUNTIF(E18:E32,"Musicien (ne)")+COUNTIF(E18:E32,"Musicien (ne) et voix"))</f>
        <v>0</v>
      </c>
      <c r="R36" s="263"/>
    </row>
    <row r="37" spans="2:20" s="62" customFormat="1" ht="44" customHeight="1" x14ac:dyDescent="0.35">
      <c r="B37" s="503"/>
      <c r="C37" s="1051" t="s">
        <v>702</v>
      </c>
      <c r="D37" s="1051"/>
      <c r="E37" s="1051"/>
      <c r="F37" s="1051"/>
      <c r="G37" s="1051"/>
      <c r="H37" s="1051"/>
      <c r="I37" s="1051"/>
      <c r="J37" s="1051"/>
      <c r="K37" s="1051"/>
      <c r="L37" s="1051"/>
      <c r="M37" s="504"/>
      <c r="P37" s="499" t="s">
        <v>833</v>
      </c>
      <c r="Q37" s="263">
        <f>SUM(COUNTIF(E18:E32,"Directeur (trice) de tournée")+COUNTIF(E18:E32,"Éclairagiste")+COUNTIF(E18:E32,"Préposé(e) aux instruments")+COUNTIF(E18:E32,"Technicien (cienne) de son"))</f>
        <v>0</v>
      </c>
      <c r="R37" s="263"/>
    </row>
    <row r="38" spans="2:20" s="62" customFormat="1" ht="44" customHeight="1" thickBot="1" x14ac:dyDescent="0.4">
      <c r="B38" s="505"/>
      <c r="C38" s="1052" t="s">
        <v>703</v>
      </c>
      <c r="D38" s="1052"/>
      <c r="E38" s="1052"/>
      <c r="F38" s="1052"/>
      <c r="G38" s="1052"/>
      <c r="H38" s="1052"/>
      <c r="I38" s="1052"/>
      <c r="J38" s="1052"/>
      <c r="K38" s="1052"/>
      <c r="L38" s="1052"/>
      <c r="M38" s="506"/>
      <c r="P38" s="197"/>
      <c r="Q38" s="199"/>
      <c r="R38" s="199"/>
      <c r="S38" s="199"/>
      <c r="T38" s="199"/>
    </row>
  </sheetData>
  <sheetProtection algorithmName="SHA-512" hashValue="TwnMgaKmxVcLk+FD0vyZFTufaobo+ZJ2qFGNhWxlOw73N06xvWCXt27l7ybXCgVxCAUdlwkwSMc91Qny5TVnCw==" saltValue="bfeo596a2z7xNCKPqmsvow==" spinCount="100000" sheet="1" objects="1" scenarios="1" formatRows="0"/>
  <mergeCells count="22">
    <mergeCell ref="J33:K33"/>
    <mergeCell ref="O21:O27"/>
    <mergeCell ref="J14:L14"/>
    <mergeCell ref="G14:I14"/>
    <mergeCell ref="F16:F17"/>
    <mergeCell ref="D14:F14"/>
    <mergeCell ref="C37:L37"/>
    <mergeCell ref="C38:L38"/>
    <mergeCell ref="C36:L36"/>
    <mergeCell ref="C12:L12"/>
    <mergeCell ref="S1:S4"/>
    <mergeCell ref="Q1:Q4"/>
    <mergeCell ref="E1:M1"/>
    <mergeCell ref="C7:L7"/>
    <mergeCell ref="E2:M2"/>
    <mergeCell ref="J4:M4"/>
    <mergeCell ref="H3:M3"/>
    <mergeCell ref="P1:P4"/>
    <mergeCell ref="O14:O17"/>
    <mergeCell ref="C9:L9"/>
    <mergeCell ref="C10:L10"/>
    <mergeCell ref="C11:L11"/>
  </mergeCells>
  <phoneticPr fontId="44" type="noConversion"/>
  <conditionalFormatting sqref="G18:G33">
    <cfRule type="expression" dxfId="39" priority="11">
      <formula>$F18="non"</formula>
    </cfRule>
  </conditionalFormatting>
  <conditionalFormatting sqref="I33">
    <cfRule type="expression" dxfId="38" priority="10">
      <formula>$F33="non"</formula>
    </cfRule>
  </conditionalFormatting>
  <conditionalFormatting sqref="L33">
    <cfRule type="expression" dxfId="37" priority="9">
      <formula>$F33="non"</formula>
    </cfRule>
  </conditionalFormatting>
  <conditionalFormatting sqref="O21:P27">
    <cfRule type="containsText" dxfId="36" priority="1" operator="containsText" text="Le nombre maximal de techniciens/directeurs (trice) de tournée admissibles est de trois">
      <formula>NOT(ISERROR(SEARCH("Le nombre maximal de techniciens/directeurs (trice) de tournée admissibles est de trois",O21)))</formula>
    </cfRule>
  </conditionalFormatting>
  <dataValidations count="2">
    <dataValidation type="whole" operator="lessThanOrEqual" allowBlank="1" showInputMessage="1" showErrorMessage="1" sqref="J18:J32" xr:uid="{C88E1EA9-8A1A-4174-AB28-6E534ED17D58}">
      <formula1>$J$17</formula1>
    </dataValidation>
    <dataValidation type="whole" operator="lessThanOrEqual" allowBlank="1" showInputMessage="1" showErrorMessage="1" sqref="K18:K32" xr:uid="{3549CEC1-577C-43CE-9ED0-3C69373672B3}">
      <formula1>$K$17</formula1>
    </dataValidation>
  </dataValidations>
  <hyperlinks>
    <hyperlink ref="C12:L12" location="DEMANDE_Transport!C7" display="3. Ensuite, compléter les tableaux des coûts de Transport cliquer ici" xr:uid="{00C7A461-1C46-40E6-AFDF-5B6548C81A06}"/>
  </hyperlinks>
  <pageMargins left="0.25" right="0.25" top="0.75" bottom="0.75" header="0.3" footer="0.3"/>
  <pageSetup paperSize="3" scale="90" orientation="landscape" r:id="rId1"/>
  <ignoredErrors>
    <ignoredError sqref="J18:K32"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98B97E4-8230-4A64-90DE-BAA0EA8397C2}">
          <x14:formula1>
            <xm:f>Paramètres!$A$2:$A$3</xm:f>
          </x14:formula1>
          <xm:sqref>F18:F32</xm:sqref>
        </x14:dataValidation>
        <x14:dataValidation type="list" allowBlank="1" showInputMessage="1" showErrorMessage="1" xr:uid="{1E60BC18-F881-484B-AC48-1F9F2C8E5041}">
          <x14:formula1>
            <xm:f>Paramètres!$I$1:$I$3</xm:f>
          </x14:formula1>
          <xm:sqref>H18:H32</xm:sqref>
        </x14:dataValidation>
        <x14:dataValidation type="list" allowBlank="1" showInputMessage="1" showErrorMessage="1" prompt="Un maximum de 3 techniciens/directeur (trice) de tournée.  Le nombre de musiciens ne peut excéder la taille habituelle du groupe en spectacle." xr:uid="{096A011B-089F-4B68-B608-996A290D3E3F}">
          <x14:formula1>
            <xm:f>Paramètres!$H$1:$H$7</xm:f>
          </x14:formula1>
          <xm:sqref>E18:E32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C4811-A7B0-42A8-B8BC-CEEBE7826EDA}">
  <sheetPr>
    <tabColor theme="4" tint="-0.249977111117893"/>
    <pageSetUpPr fitToPage="1"/>
  </sheetPr>
  <dimension ref="B1:AK65"/>
  <sheetViews>
    <sheetView showGridLines="0" zoomScale="90" zoomScaleNormal="90" workbookViewId="0">
      <selection activeCell="C7" sqref="C7:AB7"/>
    </sheetView>
  </sheetViews>
  <sheetFormatPr baseColWidth="10" defaultColWidth="10.81640625" defaultRowHeight="14" x14ac:dyDescent="0.3"/>
  <cols>
    <col min="1" max="1" width="1.54296875" style="1" customWidth="1"/>
    <col min="2" max="2" width="2.54296875" style="1" customWidth="1"/>
    <col min="3" max="3" width="36.6328125" style="418" customWidth="1"/>
    <col min="4" max="4" width="15.1796875" style="2" customWidth="1"/>
    <col min="5" max="6" width="18.6328125" style="1" customWidth="1"/>
    <col min="7" max="7" width="14.6328125" style="1" customWidth="1"/>
    <col min="8" max="8" width="2.6328125" style="1" customWidth="1"/>
    <col min="9" max="9" width="3.6328125" style="1" customWidth="1"/>
    <col min="10" max="10" width="2.6328125" style="1" customWidth="1"/>
    <col min="11" max="11" width="26.6328125" style="1" customWidth="1"/>
    <col min="12" max="12" width="16.6328125" style="1" customWidth="1"/>
    <col min="13" max="13" width="18.6328125" style="1" customWidth="1"/>
    <col min="14" max="14" width="16.81640625" style="1" customWidth="1"/>
    <col min="15" max="15" width="14.6328125" style="1" customWidth="1"/>
    <col min="16" max="16" width="3.6328125" style="1" customWidth="1"/>
    <col min="17" max="17" width="26.6328125" style="1" customWidth="1"/>
    <col min="18" max="18" width="16.6328125" style="1" customWidth="1"/>
    <col min="19" max="19" width="15.81640625" style="1" customWidth="1"/>
    <col min="20" max="20" width="14.6328125" style="1" customWidth="1"/>
    <col min="21" max="21" width="2.6328125" style="1" customWidth="1"/>
    <col min="22" max="22" width="3.6328125" style="1" customWidth="1"/>
    <col min="23" max="23" width="2.6328125" style="1" customWidth="1"/>
    <col min="24" max="24" width="29.81640625" style="1" customWidth="1"/>
    <col min="25" max="25" width="15.08984375" style="1" customWidth="1"/>
    <col min="26" max="26" width="18.6328125" style="1" customWidth="1"/>
    <col min="27" max="27" width="19.6328125" style="1" customWidth="1"/>
    <col min="28" max="28" width="14.6328125" style="1" customWidth="1"/>
    <col min="29" max="29" width="2.6328125" style="1" customWidth="1"/>
    <col min="30" max="30" width="1.6328125" style="1" customWidth="1"/>
    <col min="31" max="31" width="28.6328125" style="1" customWidth="1"/>
    <col min="32" max="16384" width="10.81640625" style="1"/>
  </cols>
  <sheetData>
    <row r="1" spans="2:37" s="62" customFormat="1" ht="36" customHeight="1" x14ac:dyDescent="0.35">
      <c r="C1" s="470"/>
      <c r="D1" s="400"/>
      <c r="E1" s="400"/>
      <c r="F1" s="507"/>
      <c r="G1" s="400"/>
      <c r="H1" s="400"/>
      <c r="I1" s="400"/>
      <c r="J1" s="400"/>
      <c r="K1" s="400"/>
      <c r="N1" s="400"/>
      <c r="O1" s="400"/>
      <c r="P1" s="400"/>
      <c r="Q1" s="893" t="s">
        <v>571</v>
      </c>
      <c r="R1" s="893"/>
      <c r="S1" s="893"/>
      <c r="T1" s="893"/>
      <c r="U1" s="893"/>
      <c r="V1" s="893"/>
      <c r="W1" s="893"/>
      <c r="X1" s="893"/>
      <c r="Y1" s="893"/>
      <c r="Z1" s="893"/>
      <c r="AA1" s="893"/>
      <c r="AB1" s="893"/>
      <c r="AC1" s="893"/>
      <c r="AD1" s="104"/>
      <c r="AE1" s="104"/>
      <c r="AF1" s="104"/>
      <c r="AG1" s="104"/>
      <c r="AH1" s="104"/>
      <c r="AI1" s="104"/>
      <c r="AJ1" s="104"/>
      <c r="AK1" s="104"/>
    </row>
    <row r="2" spans="2:37" s="62" customFormat="1" ht="16" customHeight="1" x14ac:dyDescent="0.35">
      <c r="C2" s="470"/>
      <c r="D2" s="508"/>
      <c r="E2" s="509"/>
      <c r="G2" s="508"/>
      <c r="H2" s="509"/>
      <c r="I2" s="509"/>
      <c r="J2" s="509"/>
      <c r="K2" s="509"/>
      <c r="L2" s="509"/>
      <c r="M2" s="509"/>
      <c r="O2" s="509"/>
      <c r="P2" s="509"/>
      <c r="Q2" s="509"/>
      <c r="R2" s="509"/>
      <c r="S2" s="509"/>
      <c r="T2" s="509"/>
      <c r="U2" s="509"/>
      <c r="V2" s="509"/>
      <c r="W2" s="509"/>
      <c r="X2" s="509"/>
      <c r="Y2" s="509"/>
      <c r="Z2" s="509"/>
      <c r="AA2" s="509"/>
      <c r="AB2" s="509"/>
      <c r="AC2" s="107" t="s">
        <v>87</v>
      </c>
      <c r="AD2" s="107"/>
      <c r="AE2" s="107"/>
      <c r="AF2" s="107"/>
      <c r="AG2" s="107"/>
      <c r="AH2" s="107"/>
      <c r="AI2" s="107"/>
      <c r="AJ2" s="107"/>
      <c r="AK2" s="107"/>
    </row>
    <row r="3" spans="2:37" s="62" customFormat="1" ht="16" customHeight="1" x14ac:dyDescent="0.35">
      <c r="C3" s="470"/>
      <c r="D3" s="510"/>
      <c r="G3" s="508"/>
      <c r="H3" s="426"/>
      <c r="I3" s="426"/>
      <c r="J3" s="426"/>
      <c r="K3" s="511"/>
      <c r="L3" s="512"/>
      <c r="M3" s="95"/>
      <c r="N3" s="426"/>
      <c r="Y3" s="426"/>
      <c r="AA3" s="426"/>
      <c r="AB3" s="426"/>
      <c r="AC3" s="110" t="s">
        <v>572</v>
      </c>
      <c r="AE3" s="303"/>
      <c r="AF3" s="303"/>
      <c r="AG3" s="303"/>
      <c r="AH3" s="303"/>
      <c r="AI3" s="303"/>
    </row>
    <row r="4" spans="2:37" s="62" customFormat="1" ht="12" customHeight="1" x14ac:dyDescent="0.35">
      <c r="C4" s="470"/>
      <c r="D4" s="370"/>
      <c r="W4" s="513"/>
      <c r="X4" s="513"/>
      <c r="Z4" s="513"/>
      <c r="AA4" s="898" t="s">
        <v>858</v>
      </c>
      <c r="AB4" s="898"/>
      <c r="AC4" s="898"/>
    </row>
    <row r="5" spans="2:37" ht="26" customHeight="1" thickBot="1" x14ac:dyDescent="0.35"/>
    <row r="6" spans="2:37" ht="10" customHeight="1" x14ac:dyDescent="0.3">
      <c r="B6" s="514"/>
      <c r="C6" s="515"/>
      <c r="D6" s="516"/>
      <c r="E6" s="517"/>
      <c r="F6" s="517"/>
      <c r="G6" s="517"/>
      <c r="H6" s="517"/>
      <c r="I6" s="517"/>
      <c r="J6" s="517"/>
      <c r="K6" s="517"/>
      <c r="L6" s="518"/>
      <c r="M6" s="517"/>
      <c r="N6" s="517"/>
      <c r="O6" s="517"/>
      <c r="P6" s="517"/>
      <c r="Q6" s="517"/>
      <c r="R6" s="517"/>
      <c r="S6" s="517"/>
      <c r="T6" s="517"/>
      <c r="U6" s="517"/>
      <c r="V6" s="517"/>
      <c r="W6" s="517"/>
      <c r="X6" s="517"/>
      <c r="Y6" s="517"/>
      <c r="Z6" s="517"/>
      <c r="AA6" s="517"/>
      <c r="AB6" s="517"/>
      <c r="AC6" s="519"/>
    </row>
    <row r="7" spans="2:37" ht="25" x14ac:dyDescent="0.3">
      <c r="B7" s="520"/>
      <c r="C7" s="1081" t="s">
        <v>64</v>
      </c>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521"/>
    </row>
    <row r="8" spans="2:37" s="62" customFormat="1" ht="22" customHeight="1" x14ac:dyDescent="0.35">
      <c r="B8" s="522"/>
      <c r="C8" s="523" t="s">
        <v>780</v>
      </c>
      <c r="D8" s="103" t="s">
        <v>786</v>
      </c>
      <c r="E8" s="1073" t="s">
        <v>793</v>
      </c>
      <c r="F8" s="1073"/>
      <c r="G8" s="1073"/>
      <c r="H8" s="1073"/>
      <c r="I8" s="1073"/>
      <c r="J8" s="1073"/>
      <c r="K8" s="1073"/>
      <c r="L8" s="1073"/>
      <c r="M8" s="1073"/>
      <c r="N8" s="525"/>
      <c r="O8" s="525"/>
      <c r="P8" s="525"/>
      <c r="Q8" s="525"/>
      <c r="R8" s="525"/>
      <c r="S8" s="526"/>
      <c r="U8" s="71"/>
      <c r="Y8" s="71"/>
      <c r="Z8" s="71"/>
      <c r="AA8" s="71"/>
      <c r="AB8" s="71"/>
      <c r="AC8" s="527"/>
    </row>
    <row r="9" spans="2:37" s="62" customFormat="1" ht="22" customHeight="1" x14ac:dyDescent="0.35">
      <c r="B9" s="522"/>
      <c r="C9" s="523"/>
      <c r="D9" s="528"/>
      <c r="E9" s="1078" t="s">
        <v>819</v>
      </c>
      <c r="F9" s="1078"/>
      <c r="G9" s="1078"/>
      <c r="H9" s="1078"/>
      <c r="I9" s="1078"/>
      <c r="J9" s="1078"/>
      <c r="K9" s="1078"/>
      <c r="L9" s="1078"/>
      <c r="M9" s="1078"/>
      <c r="N9" s="1078"/>
      <c r="O9" s="1078"/>
      <c r="P9" s="1078"/>
      <c r="Q9" s="1078"/>
      <c r="R9" s="1078"/>
      <c r="S9" s="1078"/>
      <c r="T9" s="1078"/>
      <c r="U9" s="1078"/>
      <c r="V9" s="1078"/>
      <c r="W9" s="1078"/>
      <c r="X9" s="1078"/>
      <c r="Y9" s="96"/>
      <c r="Z9" s="96"/>
      <c r="AA9" s="96"/>
      <c r="AB9" s="96"/>
      <c r="AC9" s="527"/>
    </row>
    <row r="10" spans="2:37" s="62" customFormat="1" ht="10" customHeight="1" x14ac:dyDescent="0.35">
      <c r="B10" s="522"/>
      <c r="C10" s="523"/>
      <c r="D10" s="528"/>
      <c r="E10" s="530"/>
      <c r="F10"/>
      <c r="G10"/>
      <c r="H10"/>
      <c r="I10"/>
      <c r="J10"/>
      <c r="K10"/>
      <c r="L10"/>
      <c r="N10"/>
      <c r="O10"/>
      <c r="P10"/>
      <c r="Q10" s="401"/>
      <c r="R10" s="386"/>
      <c r="S10" s="386"/>
      <c r="T10" s="386"/>
      <c r="U10" s="386"/>
      <c r="V10" s="386"/>
      <c r="W10" s="71"/>
      <c r="X10" s="96"/>
      <c r="Y10" s="96"/>
      <c r="Z10" s="96"/>
      <c r="AA10" s="96"/>
      <c r="AB10" s="96"/>
      <c r="AC10" s="527"/>
    </row>
    <row r="11" spans="2:37" s="62" customFormat="1" ht="22" customHeight="1" x14ac:dyDescent="0.35">
      <c r="B11" s="522"/>
      <c r="C11" s="523" t="s">
        <v>781</v>
      </c>
      <c r="D11" s="103" t="s">
        <v>787</v>
      </c>
      <c r="E11" s="1073" t="s">
        <v>794</v>
      </c>
      <c r="F11" s="1073"/>
      <c r="G11" s="1073"/>
      <c r="H11" s="1073"/>
      <c r="I11" s="1073"/>
      <c r="J11" s="1073"/>
      <c r="K11" s="1073"/>
      <c r="L11" s="1073"/>
      <c r="M11" s="1073"/>
      <c r="N11" s="525"/>
      <c r="O11" s="525"/>
      <c r="P11" s="525"/>
      <c r="Q11" s="525"/>
      <c r="R11" s="525"/>
      <c r="S11" s="525"/>
      <c r="T11" s="525"/>
      <c r="U11" s="525"/>
      <c r="V11" s="525"/>
      <c r="W11" s="526"/>
      <c r="X11" s="526"/>
      <c r="Y11" s="526"/>
      <c r="Z11" s="526"/>
      <c r="AA11" s="526"/>
      <c r="AB11" s="526"/>
      <c r="AC11" s="527"/>
    </row>
    <row r="12" spans="2:37" s="62" customFormat="1" ht="10" customHeight="1" x14ac:dyDescent="0.35">
      <c r="B12" s="522"/>
      <c r="C12" s="523"/>
      <c r="D12" s="103"/>
      <c r="E12" s="525"/>
      <c r="F12" s="526"/>
      <c r="G12" s="526"/>
      <c r="H12" s="526"/>
      <c r="I12" s="526"/>
      <c r="J12" s="526"/>
      <c r="K12" s="526"/>
      <c r="L12" s="526"/>
      <c r="M12" s="526"/>
      <c r="N12" s="526"/>
      <c r="O12" s="526"/>
      <c r="P12" s="526"/>
      <c r="Q12" s="526"/>
      <c r="R12" s="525"/>
      <c r="S12" s="525"/>
      <c r="T12" s="525"/>
      <c r="U12" s="525"/>
      <c r="V12" s="525"/>
      <c r="W12" s="526"/>
      <c r="X12" s="526"/>
      <c r="Y12" s="526"/>
      <c r="Z12" s="526"/>
      <c r="AA12" s="526"/>
      <c r="AB12" s="526"/>
      <c r="AC12" s="527"/>
    </row>
    <row r="13" spans="2:37" s="62" customFormat="1" ht="22" customHeight="1" x14ac:dyDescent="0.35">
      <c r="B13" s="522"/>
      <c r="C13" s="523" t="s">
        <v>782</v>
      </c>
      <c r="D13" s="103" t="s">
        <v>788</v>
      </c>
      <c r="E13" s="1073" t="s">
        <v>795</v>
      </c>
      <c r="F13" s="1073"/>
      <c r="G13" s="1073"/>
      <c r="H13" s="1073"/>
      <c r="I13" s="1073"/>
      <c r="J13" s="1073"/>
      <c r="K13" s="1073"/>
      <c r="L13" s="1073"/>
      <c r="M13" s="1073"/>
      <c r="N13" s="1073"/>
      <c r="O13" s="1073"/>
      <c r="P13" s="1073"/>
      <c r="Q13" s="1073"/>
      <c r="R13" s="525"/>
      <c r="S13" s="531"/>
      <c r="T13" s="532"/>
      <c r="U13" s="533"/>
      <c r="V13" s="532"/>
      <c r="Y13" s="71"/>
      <c r="Z13" s="71"/>
      <c r="AA13" s="71"/>
      <c r="AB13" s="71"/>
      <c r="AC13" s="527"/>
    </row>
    <row r="14" spans="2:37" s="62" customFormat="1" ht="22" customHeight="1" x14ac:dyDescent="0.35">
      <c r="B14" s="522"/>
      <c r="C14" s="523"/>
      <c r="D14" s="528"/>
      <c r="E14" s="1078" t="s">
        <v>820</v>
      </c>
      <c r="F14" s="1078"/>
      <c r="G14" s="1078"/>
      <c r="H14" s="1078"/>
      <c r="I14" s="1078"/>
      <c r="J14" s="1078"/>
      <c r="K14" s="1078"/>
      <c r="L14" s="1078"/>
      <c r="M14" s="1078"/>
      <c r="N14" s="1078"/>
      <c r="O14" s="1078"/>
      <c r="P14" s="1078"/>
      <c r="Q14" s="1078"/>
      <c r="R14" s="529"/>
      <c r="S14" s="63"/>
      <c r="T14" s="525"/>
      <c r="U14" s="525"/>
      <c r="V14" s="525"/>
      <c r="W14" s="71"/>
      <c r="X14" s="99"/>
      <c r="Y14" s="96"/>
      <c r="Z14" s="96"/>
      <c r="AA14" s="96"/>
      <c r="AB14" s="96"/>
      <c r="AC14" s="527"/>
    </row>
    <row r="15" spans="2:37" s="62" customFormat="1" ht="10" customHeight="1" x14ac:dyDescent="0.35">
      <c r="B15" s="522"/>
      <c r="C15" s="523"/>
      <c r="D15" s="528"/>
      <c r="E15" s="530"/>
      <c r="F15"/>
      <c r="G15"/>
      <c r="H15"/>
      <c r="I15"/>
      <c r="J15"/>
      <c r="K15"/>
      <c r="L15"/>
      <c r="M15"/>
      <c r="N15"/>
      <c r="O15"/>
      <c r="P15"/>
      <c r="Q15" s="401"/>
      <c r="R15" s="386"/>
      <c r="S15" s="386"/>
      <c r="T15" s="386"/>
      <c r="U15" s="386"/>
      <c r="V15" s="386"/>
      <c r="W15" s="71"/>
      <c r="X15" s="96"/>
      <c r="Y15" s="96"/>
      <c r="Z15" s="96"/>
      <c r="AA15" s="96"/>
      <c r="AB15" s="96"/>
      <c r="AC15" s="527"/>
    </row>
    <row r="16" spans="2:37" s="62" customFormat="1" ht="22" customHeight="1" x14ac:dyDescent="0.35">
      <c r="B16" s="522"/>
      <c r="C16" s="523" t="s">
        <v>783</v>
      </c>
      <c r="D16" s="103" t="s">
        <v>789</v>
      </c>
      <c r="E16" s="1073" t="s">
        <v>796</v>
      </c>
      <c r="F16" s="1073"/>
      <c r="G16" s="1073"/>
      <c r="H16" s="1073"/>
      <c r="I16" s="1073"/>
      <c r="J16" s="1073"/>
      <c r="K16" s="1073"/>
      <c r="L16" s="1073"/>
      <c r="M16" s="1073"/>
      <c r="N16" s="1073"/>
      <c r="O16" s="1073"/>
      <c r="P16" s="525"/>
      <c r="Q16" s="525"/>
      <c r="R16" s="525"/>
      <c r="S16" s="531"/>
      <c r="T16" s="532"/>
      <c r="U16" s="533"/>
      <c r="V16" s="532"/>
      <c r="Y16" s="71"/>
      <c r="Z16" s="71"/>
      <c r="AA16" s="71"/>
      <c r="AB16" s="71"/>
      <c r="AC16" s="527"/>
    </row>
    <row r="17" spans="2:30" s="62" customFormat="1" ht="22" customHeight="1" x14ac:dyDescent="0.35">
      <c r="B17" s="522"/>
      <c r="C17" s="523"/>
      <c r="D17" s="528"/>
      <c r="E17" s="1079" t="s">
        <v>821</v>
      </c>
      <c r="F17" s="1079"/>
      <c r="G17" s="1079"/>
      <c r="H17" s="1079"/>
      <c r="I17" s="1079"/>
      <c r="J17" s="1079"/>
      <c r="K17" s="1079"/>
      <c r="L17" s="1079"/>
      <c r="M17" s="1079"/>
      <c r="N17" s="1079"/>
      <c r="O17" s="1079"/>
      <c r="P17" s="1079"/>
      <c r="Q17" s="1079"/>
      <c r="R17" s="529"/>
      <c r="S17" s="99"/>
      <c r="T17" s="533"/>
      <c r="U17" s="533"/>
      <c r="V17" s="533"/>
      <c r="W17" s="71"/>
      <c r="X17" s="71"/>
      <c r="Y17" s="71"/>
      <c r="Z17" s="71"/>
      <c r="AA17" s="71"/>
      <c r="AB17" s="71"/>
      <c r="AC17" s="527"/>
    </row>
    <row r="18" spans="2:30" s="62" customFormat="1" ht="10" customHeight="1" x14ac:dyDescent="0.35">
      <c r="B18" s="522"/>
      <c r="C18" s="523"/>
      <c r="D18" s="528"/>
      <c r="E18" s="530"/>
      <c r="F18" s="71"/>
      <c r="G18" s="71"/>
      <c r="H18" s="71"/>
      <c r="I18" s="71"/>
      <c r="J18" s="71"/>
      <c r="K18" s="71"/>
      <c r="L18" s="534"/>
      <c r="M18" s="71"/>
      <c r="N18"/>
      <c r="O18" s="71"/>
      <c r="P18" s="71"/>
      <c r="Q18" s="71"/>
      <c r="R18" s="533"/>
      <c r="S18" s="533"/>
      <c r="T18" s="533"/>
      <c r="U18" s="533"/>
      <c r="V18" s="533"/>
      <c r="W18" s="71"/>
      <c r="X18" s="71"/>
      <c r="Y18" s="71"/>
      <c r="Z18" s="71"/>
      <c r="AA18" s="71"/>
      <c r="AB18" s="71"/>
      <c r="AC18" s="527"/>
    </row>
    <row r="19" spans="2:30" s="62" customFormat="1" ht="22" customHeight="1" x14ac:dyDescent="0.35">
      <c r="B19" s="522"/>
      <c r="C19" s="523" t="s">
        <v>784</v>
      </c>
      <c r="D19" s="103" t="s">
        <v>790</v>
      </c>
      <c r="E19" s="1073" t="s">
        <v>797</v>
      </c>
      <c r="F19" s="1073"/>
      <c r="G19" s="1073"/>
      <c r="H19" s="1073"/>
      <c r="I19" s="1073"/>
      <c r="J19" s="1073"/>
      <c r="K19" s="1073"/>
      <c r="L19" s="1073"/>
      <c r="M19" s="1073"/>
      <c r="N19" s="1073"/>
      <c r="O19" s="1073"/>
      <c r="P19" s="524"/>
      <c r="Q19" s="525"/>
      <c r="R19" s="525"/>
      <c r="S19" s="533"/>
      <c r="T19" s="533"/>
      <c r="U19" s="533"/>
      <c r="V19" s="533"/>
      <c r="W19" s="71"/>
      <c r="X19" s="71"/>
      <c r="Y19" s="71"/>
      <c r="Z19" s="71"/>
      <c r="AA19" s="71"/>
      <c r="AB19" s="71"/>
      <c r="AC19" s="527"/>
    </row>
    <row r="20" spans="2:30" s="62" customFormat="1" ht="10" customHeight="1" x14ac:dyDescent="0.35">
      <c r="B20" s="522"/>
      <c r="C20" s="523"/>
      <c r="D20" s="103"/>
      <c r="E20" s="535"/>
      <c r="F20" s="71"/>
      <c r="G20" s="71"/>
      <c r="H20" s="71"/>
      <c r="I20" s="71"/>
      <c r="J20" s="71"/>
      <c r="K20" s="71"/>
      <c r="L20" s="534"/>
      <c r="M20" s="71"/>
      <c r="N20" s="71"/>
      <c r="O20" s="71"/>
      <c r="P20" s="71"/>
      <c r="Q20" s="71"/>
      <c r="R20" s="533"/>
      <c r="S20" s="533"/>
      <c r="T20" s="533"/>
      <c r="U20" s="533"/>
      <c r="V20" s="533"/>
      <c r="W20" s="71"/>
      <c r="X20" s="71"/>
      <c r="Y20" s="71"/>
      <c r="Z20" s="71"/>
      <c r="AA20" s="71"/>
      <c r="AB20" s="71"/>
      <c r="AC20" s="527"/>
    </row>
    <row r="21" spans="2:30" s="62" customFormat="1" ht="22" customHeight="1" x14ac:dyDescent="0.35">
      <c r="B21" s="522"/>
      <c r="C21" s="523" t="s">
        <v>785</v>
      </c>
      <c r="D21" s="103" t="s">
        <v>792</v>
      </c>
      <c r="E21" s="1080" t="s">
        <v>798</v>
      </c>
      <c r="F21" s="1080"/>
      <c r="G21" s="1080"/>
      <c r="H21" s="1080"/>
      <c r="I21" s="1080"/>
      <c r="J21" s="1080"/>
      <c r="K21" s="1080"/>
      <c r="L21" s="1080"/>
      <c r="M21" s="1080"/>
      <c r="N21" s="1080"/>
      <c r="O21" s="1080"/>
      <c r="P21" s="1080"/>
      <c r="Q21" s="525"/>
      <c r="R21" s="525"/>
      <c r="S21" s="533"/>
      <c r="T21" s="533"/>
      <c r="U21" s="533"/>
      <c r="V21" s="533"/>
      <c r="W21" s="71"/>
      <c r="X21" s="71"/>
      <c r="Y21" s="71"/>
      <c r="Z21" s="71"/>
      <c r="AA21" s="71"/>
      <c r="AB21" s="71"/>
      <c r="AC21" s="527"/>
    </row>
    <row r="22" spans="2:30" s="62" customFormat="1" ht="10" customHeight="1" x14ac:dyDescent="0.35">
      <c r="B22" s="522"/>
      <c r="C22" s="523"/>
      <c r="D22" s="387"/>
      <c r="E22" s="387"/>
      <c r="F22" s="387"/>
      <c r="G22" s="387"/>
      <c r="H22" s="387"/>
      <c r="I22" s="387"/>
      <c r="J22" s="387"/>
      <c r="K22" s="387"/>
      <c r="L22" s="387"/>
      <c r="M22" s="387"/>
      <c r="N22" s="387"/>
      <c r="O22" s="387"/>
      <c r="P22" s="387"/>
      <c r="Q22" s="387"/>
      <c r="R22" s="387"/>
      <c r="S22" s="387"/>
      <c r="T22" s="387"/>
      <c r="U22" s="71"/>
      <c r="V22" s="71"/>
      <c r="W22" s="71"/>
      <c r="X22" s="71"/>
      <c r="Y22" s="71"/>
      <c r="Z22" s="71"/>
      <c r="AA22" s="71"/>
      <c r="AB22" s="71"/>
      <c r="AC22" s="527"/>
    </row>
    <row r="23" spans="2:30" s="62" customFormat="1" ht="22" customHeight="1" x14ac:dyDescent="0.35">
      <c r="B23" s="522"/>
      <c r="C23" s="523" t="s">
        <v>791</v>
      </c>
      <c r="D23" s="536"/>
      <c r="E23" s="1080" t="s">
        <v>855</v>
      </c>
      <c r="F23" s="1080"/>
      <c r="G23" s="1080"/>
      <c r="H23" s="1080"/>
      <c r="I23" s="1080"/>
      <c r="J23" s="1080"/>
      <c r="K23" s="1080"/>
      <c r="L23" s="1080"/>
      <c r="M23" s="1080"/>
      <c r="N23" s="1080"/>
      <c r="O23" s="1080"/>
      <c r="P23" s="1080"/>
      <c r="Q23" s="1080"/>
      <c r="R23" s="1080"/>
      <c r="S23"/>
      <c r="T23"/>
      <c r="U23"/>
      <c r="V23"/>
      <c r="W23"/>
      <c r="X23"/>
      <c r="Y23"/>
      <c r="Z23"/>
      <c r="AA23"/>
      <c r="AB23"/>
      <c r="AC23" s="527"/>
    </row>
    <row r="24" spans="2:30" s="62" customFormat="1" ht="10" customHeight="1" thickBot="1" x14ac:dyDescent="0.4">
      <c r="B24" s="537"/>
      <c r="C24" s="538"/>
      <c r="D24" s="539"/>
      <c r="E24" s="539"/>
      <c r="F24" s="539"/>
      <c r="G24" s="539"/>
      <c r="H24" s="539"/>
      <c r="I24" s="539"/>
      <c r="J24" s="539"/>
      <c r="K24" s="539"/>
      <c r="L24" s="539"/>
      <c r="M24" s="539"/>
      <c r="N24" s="539"/>
      <c r="O24" s="539"/>
      <c r="P24" s="539"/>
      <c r="Q24" s="539"/>
      <c r="R24" s="539"/>
      <c r="S24" s="539"/>
      <c r="T24" s="539"/>
      <c r="U24" s="540"/>
      <c r="V24" s="540"/>
      <c r="W24" s="540"/>
      <c r="X24" s="540"/>
      <c r="Y24" s="540"/>
      <c r="Z24" s="540"/>
      <c r="AA24" s="540"/>
      <c r="AB24" s="540"/>
      <c r="AC24" s="541"/>
    </row>
    <row r="25" spans="2:30" ht="10" customHeight="1" thickBot="1" x14ac:dyDescent="0.35">
      <c r="C25" s="542"/>
      <c r="L25" s="543"/>
    </row>
    <row r="26" spans="2:30" ht="10" customHeight="1" x14ac:dyDescent="0.3">
      <c r="B26" s="393"/>
      <c r="C26" s="431"/>
      <c r="D26" s="403"/>
      <c r="E26" s="432"/>
      <c r="F26" s="432"/>
      <c r="G26" s="432"/>
      <c r="H26" s="394"/>
      <c r="J26" s="393"/>
      <c r="K26" s="432"/>
      <c r="L26" s="432"/>
      <c r="M26" s="432"/>
      <c r="N26" s="432"/>
      <c r="O26" s="432"/>
      <c r="P26" s="432"/>
      <c r="Q26" s="432"/>
      <c r="R26" s="432"/>
      <c r="S26" s="432"/>
      <c r="T26" s="432"/>
      <c r="U26" s="394"/>
      <c r="W26" s="393"/>
      <c r="X26" s="431"/>
      <c r="Y26" s="403"/>
      <c r="Z26" s="432"/>
      <c r="AA26" s="432"/>
      <c r="AB26" s="432"/>
      <c r="AC26" s="394"/>
    </row>
    <row r="27" spans="2:30" ht="50" customHeight="1" x14ac:dyDescent="0.3">
      <c r="B27" s="171"/>
      <c r="C27" s="1074" t="s">
        <v>569</v>
      </c>
      <c r="D27" s="1074"/>
      <c r="E27" s="1074"/>
      <c r="F27" s="1074"/>
      <c r="G27" s="1074"/>
      <c r="H27" s="544"/>
      <c r="I27" s="545"/>
      <c r="J27" s="546"/>
      <c r="K27" s="1074" t="s">
        <v>681</v>
      </c>
      <c r="L27" s="1074"/>
      <c r="M27" s="1074"/>
      <c r="N27" s="1074"/>
      <c r="O27" s="1074"/>
      <c r="P27" s="1074"/>
      <c r="Q27" s="1074"/>
      <c r="R27" s="1074"/>
      <c r="S27" s="1074"/>
      <c r="T27" s="1074"/>
      <c r="U27" s="547"/>
      <c r="V27" s="545"/>
      <c r="W27" s="171"/>
      <c r="X27" s="1074" t="s">
        <v>594</v>
      </c>
      <c r="Y27" s="1074"/>
      <c r="Z27" s="1074"/>
      <c r="AA27" s="1074"/>
      <c r="AB27" s="1074"/>
      <c r="AC27" s="544"/>
      <c r="AD27" s="548"/>
    </row>
    <row r="28" spans="2:30" ht="10" customHeight="1" x14ac:dyDescent="0.3">
      <c r="B28" s="171"/>
      <c r="H28" s="326"/>
      <c r="J28" s="171"/>
      <c r="U28" s="326"/>
      <c r="W28" s="171"/>
      <c r="X28" s="418"/>
      <c r="Y28" s="2"/>
      <c r="AC28" s="326"/>
    </row>
    <row r="29" spans="2:30" s="62" customFormat="1" ht="73" customHeight="1" x14ac:dyDescent="0.35">
      <c r="B29" s="118"/>
      <c r="C29" s="549" t="s">
        <v>634</v>
      </c>
      <c r="D29" s="550" t="s">
        <v>587</v>
      </c>
      <c r="E29" s="549" t="s">
        <v>655</v>
      </c>
      <c r="F29" s="551" t="s">
        <v>656</v>
      </c>
      <c r="G29" s="552" t="s">
        <v>658</v>
      </c>
      <c r="H29" s="553"/>
      <c r="I29" s="554"/>
      <c r="J29" s="555"/>
      <c r="K29" s="552" t="s">
        <v>690</v>
      </c>
      <c r="L29" s="552" t="s">
        <v>834</v>
      </c>
      <c r="M29" s="552" t="s">
        <v>841</v>
      </c>
      <c r="N29" s="552" t="s">
        <v>842</v>
      </c>
      <c r="O29" s="552" t="s">
        <v>658</v>
      </c>
      <c r="P29" s="554"/>
      <c r="Q29" s="552" t="s">
        <v>691</v>
      </c>
      <c r="R29" s="550" t="s">
        <v>834</v>
      </c>
      <c r="S29" s="552" t="s">
        <v>843</v>
      </c>
      <c r="T29" s="552" t="s">
        <v>658</v>
      </c>
      <c r="U29" s="553"/>
      <c r="V29" s="554"/>
      <c r="W29" s="118"/>
      <c r="X29" s="551" t="s">
        <v>623</v>
      </c>
      <c r="Y29" s="552" t="s">
        <v>692</v>
      </c>
      <c r="Z29" s="551" t="s">
        <v>655</v>
      </c>
      <c r="AA29" s="551" t="s">
        <v>656</v>
      </c>
      <c r="AB29" s="552" t="s">
        <v>658</v>
      </c>
      <c r="AC29" s="553"/>
      <c r="AD29" s="554"/>
    </row>
    <row r="30" spans="2:30" s="62" customFormat="1" ht="28" customHeight="1" x14ac:dyDescent="0.35">
      <c r="B30" s="118"/>
      <c r="C30" s="65" t="s">
        <v>670</v>
      </c>
      <c r="D30" s="61"/>
      <c r="E30" s="788" t="str">
        <f>IF(D30="","",DEMANDE_Équipe_Tournée!$Q$35)</f>
        <v/>
      </c>
      <c r="F30" s="789" t="str">
        <f>IF(D30="","",DEMANDE_Équipe_Tournée!$Q$33-DEMANDE_Équipe_Tournée!$Q$35)</f>
        <v/>
      </c>
      <c r="G30" s="790">
        <f>IF(D30="",0,IF(E30&gt;=((E30+F30)*0.5),D30*0.4,(D30/DEMANDE_Équipe_Tournée!$Q$33*DEMANDE_Équipe_Tournée!$Q$35*0.4)))</f>
        <v>0</v>
      </c>
      <c r="H30" s="560"/>
      <c r="I30" s="561"/>
      <c r="J30" s="562"/>
      <c r="K30" s="796" t="str">
        <f>IF(C30="Bus 24-56 passagers à essence",C30,IF(C30="Camionnette 8-18 passagers à essence",C30,IF(C30="Voiture à essence",C30,"")))</f>
        <v/>
      </c>
      <c r="L30" s="15"/>
      <c r="M30" s="49"/>
      <c r="N30" s="790">
        <f>IF(D30="",0,IF(K30="Bus 24-56 passagers à essence",L30/100*40*M30,IF(K30="Camionnette 8-18 passagers à essence",L30/100*15*M30,IF(K30="Voiture à essence",L30/100*8.5*M30,0))))</f>
        <v>0</v>
      </c>
      <c r="O30" s="790">
        <f>IF(C30="Location véhicule-Sélectionner dans la liste",0,N30*0.4)</f>
        <v>0</v>
      </c>
      <c r="P30" s="563"/>
      <c r="Q30" s="798" t="str">
        <f>IF(C30="Bus 24-56 passagers électrique",C30,IF(C30="Camionnette 8-18 passagers électrique",C30,IF(C30="Voiture électrique",C30,"")))</f>
        <v/>
      </c>
      <c r="R30" s="98"/>
      <c r="S30" s="790">
        <f>IF(D30="",0,IF(Q30="Bus 24-56 passagers électrique",R30/100*6,IF(Q30="Camionnette 8-18 passagers électrique",R30/100*6,IF(Q30="Voiture électrique",R30/100*6, 0))))</f>
        <v>0</v>
      </c>
      <c r="T30" s="790">
        <f>IF(C30="Location véhicule-Sélectionner dans la liste",0,S30*0.4)</f>
        <v>0</v>
      </c>
      <c r="U30" s="560"/>
      <c r="V30" s="561"/>
      <c r="W30" s="118"/>
      <c r="X30" s="556" t="s">
        <v>355</v>
      </c>
      <c r="Y30" s="61"/>
      <c r="Z30" s="788" t="str">
        <f>IF(Y30="","",DEMANDE_Équipe_Tournée!$Q$35)</f>
        <v/>
      </c>
      <c r="AA30" s="789" t="str">
        <f>IF(Y30="","",DEMANDE_Équipe_Tournée!$Q$33-DEMANDE_Équipe_Tournée!$Q$35)</f>
        <v/>
      </c>
      <c r="AB30" s="790">
        <f>IF(Y30="",0,IF(Z30&gt;=((Z30+AA30)*0.5),Y30*0.4,(Y30/DEMANDE_Équipe_Tournée!$Q$33*DEMANDE_Équipe_Tournée!$Q$35*0.4)))</f>
        <v>0</v>
      </c>
      <c r="AC30" s="560"/>
      <c r="AD30" s="561"/>
    </row>
    <row r="31" spans="2:30" s="62" customFormat="1" ht="28" customHeight="1" x14ac:dyDescent="0.35">
      <c r="B31" s="118"/>
      <c r="C31" s="65" t="s">
        <v>670</v>
      </c>
      <c r="D31" s="61"/>
      <c r="E31" s="788" t="str">
        <f>IF(D31="","",DEMANDE_Équipe_Tournée!$Q$35)</f>
        <v/>
      </c>
      <c r="F31" s="789" t="str">
        <f>IF(D31="","",DEMANDE_Équipe_Tournée!$Q$33-DEMANDE_Équipe_Tournée!$Q$35)</f>
        <v/>
      </c>
      <c r="G31" s="790">
        <f>IF(D31="",0,IF(E31&gt;=((E31+F31)*0.5),D31*0.4,(D31/DEMANDE_Équipe_Tournée!$Q$33*DEMANDE_Équipe_Tournée!$Q$35*0.4)))</f>
        <v>0</v>
      </c>
      <c r="H31" s="560"/>
      <c r="I31" s="561"/>
      <c r="J31" s="562"/>
      <c r="K31" s="796" t="str">
        <f>IF(C31="Bus 24-56 passagers à essence",C31,IF(C31="Camionnette 8-18 passagers à essence",C31,IF(C31="Voiture à essence",C31,"")))</f>
        <v/>
      </c>
      <c r="L31" s="15"/>
      <c r="M31" s="49"/>
      <c r="N31" s="790">
        <f>IF(D31="",0,IF(K31="Bus 24-56 passagers à essence",L31/100*40*M31,IF(K31="Camionnette 8-18 passagers à essence",L31/100*15*M31,IF(K31="Voiture à essence",L31/100*8.5*M31,0))))</f>
        <v>0</v>
      </c>
      <c r="O31" s="790">
        <f>IF(C31="Location véhicule-Sélectionner dans la liste",0,N31*0.4)</f>
        <v>0</v>
      </c>
      <c r="P31" s="563"/>
      <c r="Q31" s="798" t="str">
        <f>IF(C31="Bus 24-56 passagers électrique",C31,IF(C31="Camionnette 8-18 passagers électrique",C31,IF(C31="Voiture électrique",C31,"")))</f>
        <v/>
      </c>
      <c r="R31" s="98"/>
      <c r="S31" s="790">
        <f>IF(D31="",0,IF(Q31="Bus 24-56 passagers électrique",R31/100*6,IF(Q31="Camionnette 8-18 passagers électrique",R31/100*6,IF(Q31="Voiture électrique",R31/100*6, 0))))</f>
        <v>0</v>
      </c>
      <c r="T31" s="790">
        <f>IF(C31="Location véhicule-Sélectionner dans la liste",0,S31*0.4)</f>
        <v>0</v>
      </c>
      <c r="U31" s="560"/>
      <c r="V31" s="561"/>
      <c r="W31" s="118"/>
      <c r="X31" s="556" t="s">
        <v>566</v>
      </c>
      <c r="Y31" s="61"/>
      <c r="Z31" s="788" t="str">
        <f>IF(Y31="","",DEMANDE_Équipe_Tournée!$Q$35)</f>
        <v/>
      </c>
      <c r="AA31" s="789" t="str">
        <f>IF(Y31="","",DEMANDE_Équipe_Tournée!$Q$33-DEMANDE_Équipe_Tournée!$Q$35)</f>
        <v/>
      </c>
      <c r="AB31" s="790">
        <f>IF(Y31="",0,IF(Z31&gt;=((Z31+AA31)*0.5),Y31*0.4,(Y31/DEMANDE_Équipe_Tournée!$Q$33*DEMANDE_Équipe_Tournée!$Q$35*0.4)))</f>
        <v>0</v>
      </c>
      <c r="AC31" s="560"/>
      <c r="AD31" s="561"/>
    </row>
    <row r="32" spans="2:30" s="62" customFormat="1" ht="28" customHeight="1" thickBot="1" x14ac:dyDescent="0.4">
      <c r="B32" s="118"/>
      <c r="C32" s="65" t="s">
        <v>670</v>
      </c>
      <c r="D32" s="61"/>
      <c r="E32" s="788" t="str">
        <f>IF(D32="","",DEMANDE_Équipe_Tournée!$Q$35)</f>
        <v/>
      </c>
      <c r="F32" s="789" t="str">
        <f>IF(D32="","",DEMANDE_Équipe_Tournée!$Q$33-DEMANDE_Équipe_Tournée!$Q$35)</f>
        <v/>
      </c>
      <c r="G32" s="790">
        <f>IF(D32="",0,IF(E32&gt;=((E32+F32)*0.5),D32*0.4,(D32/DEMANDE_Équipe_Tournée!$Q$33*DEMANDE_Équipe_Tournée!$Q$35*0.4)))</f>
        <v>0</v>
      </c>
      <c r="H32" s="560"/>
      <c r="I32" s="561"/>
      <c r="J32" s="562"/>
      <c r="K32" s="797" t="str">
        <f>IF(C32="Bus 24-56 passagers à essence",C32,IF(C32="Camionnette 8-18 passagers à essence",C32,IF(C32="Voiture à essence",C32,"")))</f>
        <v/>
      </c>
      <c r="L32" s="705"/>
      <c r="M32" s="706"/>
      <c r="N32" s="795">
        <f>IF(D32="",0,IF(K32="Bus 24-56 passagers à essence",L32/100*40*M32,IF(K32="Camionnette 8-18 passagers à essence",L32/100*15*M32,IF(K32="Voiture à essence",L32/100*8.5*M32,0))))</f>
        <v>0</v>
      </c>
      <c r="O32" s="795">
        <f>IF(C32="Location véhicule-Sélectionner dans la liste",0,N32*0.4)</f>
        <v>0</v>
      </c>
      <c r="P32" s="563"/>
      <c r="Q32" s="799" t="str">
        <f>IF(C32="Bus 24-56 passagers électrique",C32,IF(C32="Camionnette 8-18 passagers électrique",C32,IF(C32="Voiture électrique",C32,"")))</f>
        <v/>
      </c>
      <c r="R32" s="712"/>
      <c r="S32" s="795">
        <f>IF(D32="",0,IF(Q32="Bus 24-56 passagers électrique",R32/100*6,IF(Q32="Camionnette 8-18 passagers électrique",R32/100*6,IF(Q32="Voiture électrique",R32/100*6, 0))))</f>
        <v>0</v>
      </c>
      <c r="T32" s="795">
        <f>IF(C32="Location véhicule-Sélectionner dans la liste",0,S32*0.4)</f>
        <v>0</v>
      </c>
      <c r="U32" s="560"/>
      <c r="V32" s="561"/>
      <c r="W32" s="118"/>
      <c r="X32" s="564" t="s">
        <v>356</v>
      </c>
      <c r="Y32" s="61"/>
      <c r="Z32" s="791"/>
      <c r="AA32" s="792"/>
      <c r="AB32" s="790">
        <f>+Y32*0.4</f>
        <v>0</v>
      </c>
      <c r="AC32" s="560"/>
      <c r="AD32" s="561"/>
    </row>
    <row r="33" spans="2:30" s="62" customFormat="1" ht="28" customHeight="1" thickBot="1" x14ac:dyDescent="0.4">
      <c r="B33" s="118"/>
      <c r="C33" s="556" t="s">
        <v>647</v>
      </c>
      <c r="D33" s="61"/>
      <c r="E33" s="788" t="str">
        <f>IF(D33="","",DEMANDE_Équipe_Tournée!$Q$35)</f>
        <v/>
      </c>
      <c r="F33" s="789" t="str">
        <f>IF(D33="","",DEMANDE_Équipe_Tournée!$Q$33-DEMANDE_Équipe_Tournée!$Q$35)</f>
        <v/>
      </c>
      <c r="G33" s="790">
        <f>IF(D33="",0,IF(E33&gt;=((E33+F33)*0.5),D33*0.4,(D33/DEMANDE_Équipe_Tournée!$Q$33*DEMANDE_Équipe_Tournée!$Q$35*0.4)))</f>
        <v>0</v>
      </c>
      <c r="H33" s="560"/>
      <c r="J33" s="118"/>
      <c r="K33" s="707" t="s">
        <v>407</v>
      </c>
      <c r="L33" s="708">
        <f>SUM(L30:L32)</f>
        <v>0</v>
      </c>
      <c r="M33" s="709"/>
      <c r="N33" s="710">
        <f>SUM(N30:N32)</f>
        <v>0</v>
      </c>
      <c r="O33" s="711">
        <f>SUM(O30:O32)</f>
        <v>0</v>
      </c>
      <c r="P33" s="565"/>
      <c r="Q33" s="707" t="s">
        <v>407</v>
      </c>
      <c r="R33" s="713">
        <f>SUM(R30:R32)</f>
        <v>0</v>
      </c>
      <c r="S33" s="710">
        <f>SUM(S30:S32)</f>
        <v>0</v>
      </c>
      <c r="T33" s="711">
        <f>SUM(T30:T32)</f>
        <v>0</v>
      </c>
      <c r="U33" s="560"/>
      <c r="W33" s="118"/>
      <c r="X33" s="564" t="s">
        <v>354</v>
      </c>
      <c r="Y33" s="61"/>
      <c r="Z33" s="793"/>
      <c r="AA33" s="794"/>
      <c r="AB33" s="790">
        <f>+Y33*0.4</f>
        <v>0</v>
      </c>
      <c r="AC33" s="560"/>
      <c r="AD33" s="561"/>
    </row>
    <row r="34" spans="2:30" s="62" customFormat="1" ht="28" customHeight="1" x14ac:dyDescent="0.35">
      <c r="B34" s="118"/>
      <c r="C34" s="556" t="s">
        <v>648</v>
      </c>
      <c r="D34" s="61"/>
      <c r="E34" s="788" t="str">
        <f>IF(D34="","",DEMANDE_Équipe_Tournée!$Q$35)</f>
        <v/>
      </c>
      <c r="F34" s="789" t="str">
        <f>IF(D34="","",DEMANDE_Équipe_Tournée!$Q$33-DEMANDE_Équipe_Tournée!$Q$35)</f>
        <v/>
      </c>
      <c r="G34" s="790">
        <f t="shared" ref="G34:G40" si="0">IFERROR(D34*0.4,0)</f>
        <v>0</v>
      </c>
      <c r="H34" s="560"/>
      <c r="I34" s="561"/>
      <c r="J34" s="562"/>
      <c r="K34" s="561"/>
      <c r="L34" s="566"/>
      <c r="M34" s="144"/>
      <c r="N34" s="561"/>
      <c r="O34" s="561"/>
      <c r="P34" s="561"/>
      <c r="Q34" s="561"/>
      <c r="R34" s="561"/>
      <c r="S34" s="561"/>
      <c r="T34" s="561"/>
      <c r="U34" s="560"/>
      <c r="V34" s="561"/>
      <c r="W34" s="118"/>
      <c r="X34" s="564" t="s">
        <v>567</v>
      </c>
      <c r="Y34" s="61"/>
      <c r="Z34" s="793"/>
      <c r="AA34" s="794"/>
      <c r="AB34" s="790">
        <f>+Y34*0.4</f>
        <v>0</v>
      </c>
      <c r="AC34" s="560"/>
      <c r="AD34" s="561"/>
    </row>
    <row r="35" spans="2:30" s="62" customFormat="1" ht="28" customHeight="1" thickBot="1" x14ac:dyDescent="0.4">
      <c r="B35" s="118"/>
      <c r="C35" s="556" t="s">
        <v>698</v>
      </c>
      <c r="D35" s="61"/>
      <c r="E35" s="788" t="str">
        <f>IF(D35="","",DEMANDE_Équipe_Tournée!$Q$35)</f>
        <v/>
      </c>
      <c r="F35" s="789" t="str">
        <f>IF(D35="","",DEMANDE_Équipe_Tournée!$Q$33-DEMANDE_Équipe_Tournée!$Q$35)</f>
        <v/>
      </c>
      <c r="G35" s="790">
        <f t="shared" si="0"/>
        <v>0</v>
      </c>
      <c r="H35" s="560"/>
      <c r="I35" s="561"/>
      <c r="J35" s="562"/>
      <c r="K35" s="561"/>
      <c r="U35" s="567"/>
      <c r="V35" s="561"/>
      <c r="W35" s="118"/>
      <c r="X35" s="699" t="s">
        <v>568</v>
      </c>
      <c r="Y35" s="700"/>
      <c r="Z35" s="793"/>
      <c r="AA35" s="794"/>
      <c r="AB35" s="795">
        <f>+Y35*0.4</f>
        <v>0</v>
      </c>
      <c r="AC35" s="560"/>
      <c r="AD35" s="561"/>
    </row>
    <row r="36" spans="2:30" s="62" customFormat="1" ht="28" customHeight="1" thickBot="1" x14ac:dyDescent="0.4">
      <c r="B36" s="118"/>
      <c r="C36" s="556" t="s">
        <v>649</v>
      </c>
      <c r="D36" s="61"/>
      <c r="E36" s="788" t="str">
        <f>IF(D36="","",DEMANDE_Équipe_Tournée!$Q$35)</f>
        <v/>
      </c>
      <c r="F36" s="789" t="str">
        <f>IF(D36="","",DEMANDE_Équipe_Tournée!$Q$33-DEMANDE_Équipe_Tournée!$Q$35)</f>
        <v/>
      </c>
      <c r="G36" s="790">
        <f t="shared" si="0"/>
        <v>0</v>
      </c>
      <c r="H36" s="560"/>
      <c r="I36" s="561"/>
      <c r="J36" s="562"/>
      <c r="K36" s="561"/>
      <c r="L36" s="561"/>
      <c r="M36" s="561"/>
      <c r="N36" s="561"/>
      <c r="O36" s="561"/>
      <c r="P36" s="561"/>
      <c r="R36" s="561"/>
      <c r="S36" s="561"/>
      <c r="T36" s="561"/>
      <c r="U36" s="560"/>
      <c r="V36" s="561"/>
      <c r="W36" s="118"/>
      <c r="X36" s="701" t="s">
        <v>407</v>
      </c>
      <c r="Y36" s="702">
        <f>SUM(Y30:Y35)</f>
        <v>0</v>
      </c>
      <c r="Z36" s="568"/>
      <c r="AA36" s="568"/>
      <c r="AB36" s="704">
        <f>IF(SUM(AB30:AB35)&gt;2000,2000,SUM(AB30:AB35))</f>
        <v>0</v>
      </c>
      <c r="AC36" s="560"/>
      <c r="AD36" s="561"/>
    </row>
    <row r="37" spans="2:30" s="62" customFormat="1" ht="28" customHeight="1" x14ac:dyDescent="0.35">
      <c r="B37" s="118"/>
      <c r="C37" s="569" t="s">
        <v>563</v>
      </c>
      <c r="D37" s="61"/>
      <c r="E37" s="788" t="str">
        <f>IF(D37="","",DEMANDE_Équipe_Tournée!$Q$35)</f>
        <v/>
      </c>
      <c r="F37" s="789" t="str">
        <f>IF(D37="","",DEMANDE_Équipe_Tournée!$Q$33-DEMANDE_Équipe_Tournée!$Q$35)</f>
        <v/>
      </c>
      <c r="G37" s="790">
        <f t="shared" si="0"/>
        <v>0</v>
      </c>
      <c r="H37" s="560"/>
      <c r="I37" s="561"/>
      <c r="J37" s="562"/>
      <c r="K37" s="561"/>
      <c r="M37" s="561"/>
      <c r="N37" s="561"/>
      <c r="O37" s="561"/>
      <c r="P37" s="561"/>
      <c r="R37" s="561"/>
      <c r="S37" s="561"/>
      <c r="T37" s="561"/>
      <c r="U37" s="560"/>
      <c r="V37" s="561"/>
      <c r="W37" s="118"/>
      <c r="AC37" s="560"/>
      <c r="AD37" s="561"/>
    </row>
    <row r="38" spans="2:30" s="62" customFormat="1" ht="28" customHeight="1" x14ac:dyDescent="0.35">
      <c r="B38" s="118"/>
      <c r="C38" s="564" t="s">
        <v>644</v>
      </c>
      <c r="D38" s="61"/>
      <c r="E38" s="791"/>
      <c r="F38" s="792"/>
      <c r="G38" s="790">
        <f t="shared" si="0"/>
        <v>0</v>
      </c>
      <c r="H38" s="560"/>
      <c r="I38" s="561"/>
      <c r="J38" s="562"/>
      <c r="K38" s="561"/>
      <c r="M38" s="561"/>
      <c r="N38" s="561"/>
      <c r="O38" s="561"/>
      <c r="P38" s="561"/>
      <c r="Q38" s="561"/>
      <c r="R38" s="561"/>
      <c r="S38" s="561"/>
      <c r="T38" s="561"/>
      <c r="U38" s="560"/>
      <c r="V38" s="561"/>
      <c r="W38" s="118"/>
      <c r="AC38" s="560"/>
      <c r="AD38" s="561"/>
    </row>
    <row r="39" spans="2:30" s="62" customFormat="1" ht="28" customHeight="1" x14ac:dyDescent="0.35">
      <c r="B39" s="118"/>
      <c r="C39" s="564" t="s">
        <v>645</v>
      </c>
      <c r="D39" s="61"/>
      <c r="E39" s="793"/>
      <c r="F39" s="794"/>
      <c r="G39" s="790">
        <f t="shared" si="0"/>
        <v>0</v>
      </c>
      <c r="H39" s="560"/>
      <c r="I39" s="561"/>
      <c r="J39" s="562"/>
      <c r="K39" s="561"/>
      <c r="L39" s="561"/>
      <c r="M39" s="561"/>
      <c r="N39" s="561"/>
      <c r="O39" s="561"/>
      <c r="P39" s="561"/>
      <c r="Q39" s="561"/>
      <c r="R39" s="561"/>
      <c r="S39" s="561"/>
      <c r="T39" s="561"/>
      <c r="U39" s="560"/>
      <c r="V39" s="561"/>
      <c r="W39" s="118"/>
      <c r="AC39" s="560"/>
      <c r="AD39" s="561"/>
    </row>
    <row r="40" spans="2:30" s="62" customFormat="1" ht="28" customHeight="1" thickBot="1" x14ac:dyDescent="0.4">
      <c r="B40" s="118"/>
      <c r="C40" s="699" t="s">
        <v>646</v>
      </c>
      <c r="D40" s="700"/>
      <c r="E40" s="793"/>
      <c r="F40" s="794"/>
      <c r="G40" s="795">
        <f t="shared" si="0"/>
        <v>0</v>
      </c>
      <c r="H40" s="560"/>
      <c r="I40" s="561"/>
      <c r="J40" s="562"/>
      <c r="K40" s="561"/>
      <c r="L40" s="561"/>
      <c r="M40" s="561"/>
      <c r="N40" s="561"/>
      <c r="O40" s="561"/>
      <c r="P40" s="561"/>
      <c r="Q40" s="561"/>
      <c r="R40" s="561"/>
      <c r="S40" s="561"/>
      <c r="T40" s="561"/>
      <c r="U40" s="560"/>
      <c r="V40" s="561"/>
      <c r="W40" s="118"/>
      <c r="X40" s="570"/>
      <c r="Y40" s="571"/>
      <c r="Z40" s="572"/>
      <c r="AA40" s="572"/>
      <c r="AB40" s="561"/>
      <c r="AC40" s="560"/>
      <c r="AD40" s="561"/>
    </row>
    <row r="41" spans="2:30" s="62" customFormat="1" ht="28" customHeight="1" thickBot="1" x14ac:dyDescent="0.4">
      <c r="B41" s="118"/>
      <c r="C41" s="701" t="s">
        <v>407</v>
      </c>
      <c r="D41" s="702">
        <f>SUM(D30:D40)</f>
        <v>0</v>
      </c>
      <c r="E41" s="728"/>
      <c r="F41" s="728"/>
      <c r="G41" s="704">
        <f>SUM(G30:G40)</f>
        <v>0</v>
      </c>
      <c r="H41" s="573"/>
      <c r="I41" s="574"/>
      <c r="J41" s="575"/>
      <c r="K41" s="574"/>
      <c r="L41" s="574"/>
      <c r="M41" s="574"/>
      <c r="N41" s="574"/>
      <c r="O41" s="574"/>
      <c r="P41" s="574"/>
      <c r="Q41" s="574"/>
      <c r="R41" s="574"/>
      <c r="S41" s="574"/>
      <c r="T41" s="574"/>
      <c r="U41" s="573"/>
      <c r="V41" s="574"/>
      <c r="W41" s="118"/>
      <c r="AC41" s="573"/>
      <c r="AD41" s="574"/>
    </row>
    <row r="42" spans="2:30" ht="10" customHeight="1" thickBot="1" x14ac:dyDescent="0.35">
      <c r="B42" s="193"/>
      <c r="C42" s="576"/>
      <c r="D42" s="416"/>
      <c r="E42" s="194"/>
      <c r="F42" s="194"/>
      <c r="G42" s="194"/>
      <c r="H42" s="382"/>
      <c r="J42" s="193"/>
      <c r="K42" s="194"/>
      <c r="L42" s="194"/>
      <c r="M42" s="194"/>
      <c r="N42" s="194"/>
      <c r="O42" s="194"/>
      <c r="P42" s="194"/>
      <c r="Q42" s="194"/>
      <c r="R42" s="194"/>
      <c r="S42" s="194"/>
      <c r="T42" s="194"/>
      <c r="U42" s="382"/>
      <c r="W42" s="193"/>
      <c r="X42" s="576"/>
      <c r="Y42" s="416"/>
      <c r="Z42" s="194"/>
      <c r="AA42" s="194"/>
      <c r="AB42" s="194"/>
      <c r="AC42" s="382"/>
    </row>
    <row r="43" spans="2:30" ht="10" customHeight="1" thickBot="1" x14ac:dyDescent="0.35">
      <c r="B43" s="577"/>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row>
    <row r="44" spans="2:30" ht="20" customHeight="1" thickBot="1" x14ac:dyDescent="0.35">
      <c r="B44" s="1082" t="s">
        <v>696</v>
      </c>
      <c r="C44" s="1083"/>
      <c r="D44" s="1083"/>
      <c r="E44" s="1083"/>
      <c r="F44" s="1083"/>
      <c r="G44" s="1083"/>
      <c r="H44" s="1084"/>
      <c r="I44" s="577"/>
      <c r="J44" s="1075" t="s">
        <v>696</v>
      </c>
      <c r="K44" s="1076"/>
      <c r="L44" s="1076"/>
      <c r="M44" s="1076"/>
      <c r="N44" s="1076"/>
      <c r="O44" s="1076"/>
      <c r="P44" s="1076"/>
      <c r="Q44" s="1076"/>
      <c r="R44" s="1076"/>
      <c r="S44" s="1076"/>
      <c r="T44" s="1076"/>
      <c r="U44" s="1077"/>
      <c r="V44" s="577"/>
      <c r="W44" s="1075" t="s">
        <v>731</v>
      </c>
      <c r="X44" s="1076"/>
      <c r="Y44" s="1076"/>
      <c r="Z44" s="1076"/>
      <c r="AA44" s="1076"/>
      <c r="AB44" s="1076"/>
      <c r="AC44" s="1077"/>
      <c r="AD44" s="577"/>
    </row>
    <row r="45" spans="2:30" ht="5" customHeight="1" thickBot="1" x14ac:dyDescent="0.35">
      <c r="B45" s="2"/>
      <c r="C45" s="2"/>
      <c r="E45" s="2"/>
      <c r="F45" s="2"/>
      <c r="G45" s="2"/>
      <c r="H45" s="2"/>
      <c r="I45" s="577"/>
      <c r="J45" s="579"/>
      <c r="K45" s="579"/>
      <c r="L45" s="579"/>
      <c r="M45" s="579"/>
      <c r="N45" s="579"/>
      <c r="O45" s="579"/>
      <c r="P45" s="579"/>
      <c r="Q45" s="579"/>
      <c r="R45" s="579"/>
      <c r="S45" s="579"/>
      <c r="T45" s="579"/>
      <c r="U45" s="579"/>
      <c r="V45" s="577"/>
      <c r="W45" s="579"/>
      <c r="X45" s="579"/>
      <c r="Y45" s="579"/>
      <c r="Z45" s="579"/>
      <c r="AA45" s="579"/>
      <c r="AB45" s="579"/>
      <c r="AC45" s="579"/>
      <c r="AD45" s="577"/>
    </row>
    <row r="46" spans="2:30" ht="20" customHeight="1" thickBot="1" x14ac:dyDescent="0.35">
      <c r="B46" s="1082" t="s">
        <v>835</v>
      </c>
      <c r="C46" s="1083"/>
      <c r="D46" s="1083"/>
      <c r="E46" s="1083"/>
      <c r="F46" s="1083"/>
      <c r="G46" s="1083"/>
      <c r="H46" s="1084"/>
      <c r="I46" s="577"/>
      <c r="J46" s="577"/>
      <c r="K46" s="577"/>
      <c r="P46" s="577"/>
      <c r="T46" s="577"/>
      <c r="U46" s="577"/>
      <c r="V46" s="577"/>
    </row>
    <row r="47" spans="2:30" ht="24" customHeight="1" x14ac:dyDescent="0.35">
      <c r="C47" s="580"/>
      <c r="L47" s="561"/>
      <c r="Q47"/>
      <c r="S47" s="577"/>
    </row>
    <row r="48" spans="2:30" x14ac:dyDescent="0.3">
      <c r="C48" s="580"/>
      <c r="D48" s="3"/>
    </row>
    <row r="51" spans="12:14" ht="14.5" x14ac:dyDescent="0.35">
      <c r="L51" s="561"/>
      <c r="N51" s="63"/>
    </row>
    <row r="52" spans="12:14" ht="14.5" x14ac:dyDescent="0.35">
      <c r="M52" s="63"/>
    </row>
    <row r="57" spans="12:14" ht="14.5" x14ac:dyDescent="0.35">
      <c r="L57"/>
    </row>
    <row r="60" spans="12:14" x14ac:dyDescent="0.3">
      <c r="M60" s="581"/>
    </row>
    <row r="61" spans="12:14" x14ac:dyDescent="0.3">
      <c r="M61" s="64"/>
    </row>
    <row r="65" spans="9:30" ht="22" customHeight="1" x14ac:dyDescent="0.3">
      <c r="I65" s="577"/>
      <c r="J65" s="577"/>
      <c r="K65" s="577"/>
      <c r="L65" s="577"/>
      <c r="M65" s="577"/>
      <c r="N65" s="577"/>
      <c r="O65" s="577"/>
      <c r="P65" s="577"/>
      <c r="Q65" s="577"/>
      <c r="R65" s="577"/>
      <c r="S65" s="577"/>
      <c r="T65" s="577"/>
      <c r="U65" s="577"/>
      <c r="V65" s="577"/>
      <c r="W65" s="577"/>
      <c r="X65" s="577"/>
      <c r="Y65" s="577"/>
      <c r="Z65" s="577"/>
      <c r="AA65" s="577"/>
      <c r="AB65" s="577"/>
      <c r="AC65" s="577"/>
      <c r="AD65" s="577"/>
    </row>
  </sheetData>
  <sheetProtection algorithmName="SHA-512" hashValue="C2EgYxed0VBfuIcqlC415z1K7dMhvFla01Vd0DLpgXdg5Rk/j1RfaV7eMlxXGFfZgMGa/AHpCo1u58k43OnMHg==" saltValue="KESILY0GMndFzTqjVuPWMw==" spinCount="100000" sheet="1" objects="1" scenarios="1" formatRows="0"/>
  <sortState xmlns:xlrd2="http://schemas.microsoft.com/office/spreadsheetml/2017/richdata2" ref="C31:C40">
    <sortCondition ref="C30:C40"/>
  </sortState>
  <mergeCells count="21">
    <mergeCell ref="B46:H46"/>
    <mergeCell ref="C27:G27"/>
    <mergeCell ref="K27:T27"/>
    <mergeCell ref="J44:U44"/>
    <mergeCell ref="B44:H44"/>
    <mergeCell ref="E19:O19"/>
    <mergeCell ref="E8:M8"/>
    <mergeCell ref="X27:AB27"/>
    <mergeCell ref="W44:AC44"/>
    <mergeCell ref="Q1:AC1"/>
    <mergeCell ref="E9:X9"/>
    <mergeCell ref="E11:M11"/>
    <mergeCell ref="E13:Q13"/>
    <mergeCell ref="E16:O16"/>
    <mergeCell ref="E14:Q14"/>
    <mergeCell ref="E17:Q17"/>
    <mergeCell ref="E21:P21"/>
    <mergeCell ref="AA4:AC4"/>
    <mergeCell ref="E23:P23"/>
    <mergeCell ref="Q23:R23"/>
    <mergeCell ref="C7:AB7"/>
  </mergeCells>
  <conditionalFormatting sqref="C30:C32">
    <cfRule type="containsText" dxfId="35" priority="3" operator="containsText" text="Location véhicule-Sélectionner dans la liste">
      <formula>NOT(ISERROR(SEARCH("Location véhicule-Sélectionner dans la liste",C30)))</formula>
    </cfRule>
  </conditionalFormatting>
  <conditionalFormatting sqref="K30:K32">
    <cfRule type="notContainsBlanks" dxfId="34" priority="2">
      <formula>LEN(TRIM(K30))&gt;0</formula>
    </cfRule>
  </conditionalFormatting>
  <conditionalFormatting sqref="Q30:Q32">
    <cfRule type="notContainsBlanks" dxfId="33" priority="1">
      <formula>LEN(TRIM(Q30))&gt;0</formula>
    </cfRule>
  </conditionalFormatting>
  <dataValidations count="1">
    <dataValidation allowBlank="1" showInputMessage="1" showErrorMessage="1" prompt="Inclus: Autobus de ville, Tramway, Trains de banlieu, Métro" sqref="D35:F35" xr:uid="{6AB1CB03-FA90-4C7A-BDE0-DEC25A215052}"/>
  </dataValidations>
  <hyperlinks>
    <hyperlink ref="E23:P23" location="Formulaire_Demande!C182" display="Ensuite, retourner au Formulaire_Demande Section G Budget cliquer ici" xr:uid="{A22426FF-008A-4EDD-A364-FC4FF8B4195D}"/>
    <hyperlink ref="E9:O9" r:id="rId1" display="Outil d'aide : vous pouvez utiliser le convertisseur de devise de la Banque du Canada pour calculer la conversion de vos montants : https://www.banqueducanada.ca/taux/taux-de-change/convertisseur-de-devises/ " xr:uid="{0B32E79C-89BE-4066-A4DC-5540371BBB9B}"/>
    <hyperlink ref="E14" r:id="rId2" xr:uid="{87590D02-EA0C-47B2-898F-A2F53CAC901F}"/>
    <hyperlink ref="E8:M8" location="DEMANDE_Transport!C30" display="Sélectionner dans la liste déroulante le type de véhicule de location, lorsqu'applicable cliquer ici" xr:uid="{C11C019B-D475-471B-BD66-4D0F30BB2C3E}"/>
    <hyperlink ref="E11:M11" location="DEMANDE_Transport!D29" display="Inscrire les coûts de transports local HORS QUÉBEC prévisionnels, lorsqu'applicable cliquer ici" xr:uid="{D805654E-8EF3-435A-94BB-C126241352AC}"/>
    <hyperlink ref="E13:Q13" location="DEMANDE_Transport!L29" display="Pour véhicule à essence seulement - Inscrire la distance parcourue prévisionnelle en kilomètres, par véhicule loué, lorsqu'applicable cliquer ici" xr:uid="{CA30CE38-49F2-42EF-8413-6871C0E25826}"/>
    <hyperlink ref="E16:O16" location="DEMANDE_Transport!M29" display="Pour véhicule à essence seulement - Inscrire le coût moyen prévisionnel de l'essence, lorsqu'applicable cliquer ici" xr:uid="{0ABEF0B5-7CA4-4964-B61D-D762CE17C428}"/>
    <hyperlink ref="E19:P19" location="DEMANDE_Transport!R29" display="Pour véhicule hybride seulement - Inscrire la distance parcourue en kilomètres par véhicule loué, lorsqu'applicable cliquer ici" xr:uid="{71ED46A5-FF8A-4CBD-9D1F-756B73403380}"/>
    <hyperlink ref="E21:P21" location="DEMANDE_Transport!Y29" display="Inscrire les coûts de transport et location de matériel, assurances, permis de travail prévisionnels, lorsqu'applicable cliquer ici" xr:uid="{9F1B3AD4-FA69-4889-B10B-683A7929704E}"/>
    <hyperlink ref="E17:Q17" r:id="rId3" display="Outil d'aide : vous pouvez utiliser cet outil pour consulter les prix mondiaux de l'essence : https://www.globalpetrolprices.com/gasoline_prices/" xr:uid="{52027292-16EA-466F-A7EA-D6390E6D9B55}"/>
    <hyperlink ref="E23:R23" location="Formulaire_Demande!C184" display="Retourner au Formulaire_Demande Section G Budget cliquer ici" xr:uid="{AFE95FBB-C991-4A53-9106-C1E398488C7D}"/>
  </hyperlinks>
  <pageMargins left="0.25" right="0.25" top="0.75" bottom="0.75" header="0.3" footer="0.3"/>
  <pageSetup paperSize="3" scale="54"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49DCDD30-491A-4434-B716-7C1F04E92BEC}">
          <x14:formula1>
            <xm:f>Paramètres!$M$1:$M$7</xm:f>
          </x14:formula1>
          <xm:sqref>C30:C32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94E7-41C5-4EF7-9F92-54DD1BA7DAB0}">
  <sheetPr codeName="Feuil5">
    <tabColor rgb="FF8FE2FF"/>
    <pageSetUpPr fitToPage="1"/>
  </sheetPr>
  <dimension ref="B1:R43"/>
  <sheetViews>
    <sheetView showGridLines="0" zoomScale="90" zoomScaleNormal="90" workbookViewId="0">
      <selection activeCell="C7" sqref="C7:K7"/>
    </sheetView>
  </sheetViews>
  <sheetFormatPr baseColWidth="10" defaultColWidth="10.81640625" defaultRowHeight="14" x14ac:dyDescent="0.3"/>
  <cols>
    <col min="1" max="1" width="1.54296875" style="1" customWidth="1"/>
    <col min="2" max="2" width="2.54296875" style="433" customWidth="1"/>
    <col min="3" max="7" width="15.54296875" style="1" customWidth="1"/>
    <col min="8" max="8" width="14" style="1" customWidth="1"/>
    <col min="9" max="9" width="2.6328125" style="1" customWidth="1"/>
    <col min="10" max="10" width="39.54296875" style="1" customWidth="1"/>
    <col min="11" max="11" width="20.6328125" style="1" customWidth="1"/>
    <col min="12" max="12" width="2.54296875" style="1" customWidth="1"/>
    <col min="13" max="13" width="1.54296875" style="1" customWidth="1"/>
    <col min="14" max="14" width="13.1796875" style="1" customWidth="1"/>
    <col min="15" max="16384" width="10.81640625" style="1"/>
  </cols>
  <sheetData>
    <row r="1" spans="2:17" ht="36" customHeight="1" x14ac:dyDescent="0.3">
      <c r="D1" s="400"/>
      <c r="E1" s="893" t="s">
        <v>571</v>
      </c>
      <c r="F1" s="893"/>
      <c r="G1" s="893"/>
      <c r="H1" s="893"/>
      <c r="I1" s="893"/>
      <c r="J1" s="893"/>
      <c r="K1" s="893"/>
      <c r="L1" s="893"/>
      <c r="M1" s="400"/>
      <c r="N1" s="400"/>
      <c r="O1" s="400"/>
      <c r="P1" s="400"/>
      <c r="Q1" s="400"/>
    </row>
    <row r="2" spans="2:17" ht="16" customHeight="1" x14ac:dyDescent="0.3">
      <c r="D2" s="899" t="s">
        <v>87</v>
      </c>
      <c r="E2" s="899"/>
      <c r="F2" s="899"/>
      <c r="G2" s="899"/>
      <c r="H2" s="899"/>
      <c r="I2" s="899"/>
      <c r="J2" s="899"/>
      <c r="K2" s="899"/>
      <c r="L2" s="899"/>
      <c r="N2" s="582"/>
    </row>
    <row r="3" spans="2:17" ht="16" customHeight="1" x14ac:dyDescent="0.3">
      <c r="J3" s="900" t="s">
        <v>1</v>
      </c>
      <c r="K3" s="900"/>
      <c r="L3" s="900"/>
    </row>
    <row r="4" spans="2:17" ht="12" customHeight="1" x14ac:dyDescent="0.3">
      <c r="H4" s="1090" t="s">
        <v>858</v>
      </c>
      <c r="I4" s="1090"/>
      <c r="J4" s="1090"/>
      <c r="K4" s="1090"/>
      <c r="L4" s="1090"/>
    </row>
    <row r="5" spans="2:17" ht="10" customHeight="1" thickBot="1" x14ac:dyDescent="0.35">
      <c r="N5" s="62"/>
    </row>
    <row r="6" spans="2:17" ht="10" customHeight="1" x14ac:dyDescent="0.3">
      <c r="B6" s="111"/>
      <c r="C6" s="112"/>
      <c r="D6" s="112"/>
      <c r="E6" s="113"/>
      <c r="F6" s="114"/>
      <c r="G6" s="115"/>
      <c r="H6" s="115"/>
      <c r="I6" s="115"/>
      <c r="J6" s="115"/>
      <c r="K6" s="115"/>
      <c r="L6" s="116"/>
      <c r="M6" s="62"/>
      <c r="N6" s="62"/>
    </row>
    <row r="7" spans="2:17" ht="28" customHeight="1" x14ac:dyDescent="0.3">
      <c r="B7" s="118"/>
      <c r="C7" s="1094" t="s">
        <v>61</v>
      </c>
      <c r="D7" s="1095"/>
      <c r="E7" s="1095"/>
      <c r="F7" s="1095"/>
      <c r="G7" s="1095"/>
      <c r="H7" s="1095"/>
      <c r="I7" s="1095"/>
      <c r="J7" s="1095"/>
      <c r="K7" s="1096"/>
      <c r="L7" s="119"/>
      <c r="M7" s="62"/>
      <c r="N7" s="324"/>
    </row>
    <row r="8" spans="2:17" ht="16" customHeight="1" x14ac:dyDescent="0.3">
      <c r="B8" s="118"/>
      <c r="C8" s="122"/>
      <c r="D8" s="122"/>
      <c r="E8" s="123"/>
      <c r="F8" s="124"/>
      <c r="G8" s="62"/>
      <c r="H8" s="62"/>
      <c r="I8" s="62"/>
      <c r="J8" s="62"/>
      <c r="K8" s="62"/>
      <c r="L8" s="119"/>
      <c r="M8" s="62"/>
      <c r="N8" s="62"/>
    </row>
    <row r="9" spans="2:17" ht="22" customHeight="1" x14ac:dyDescent="0.3">
      <c r="B9" s="118"/>
      <c r="C9" s="1098" t="str">
        <f>IF(Formulaire_Demande!G86="","",Formulaire_Demande!J86&amp;" "&amp;TEXT(Formulaire_Demande!L86,"J MMMM AAAA"))</f>
        <v/>
      </c>
      <c r="D9" s="1098"/>
      <c r="E9" s="1098"/>
      <c r="F9" s="1098"/>
      <c r="G9" s="1098"/>
      <c r="H9" s="1098"/>
      <c r="I9" s="1098"/>
      <c r="J9" s="1098"/>
      <c r="K9" s="1098"/>
      <c r="L9" s="119"/>
      <c r="M9" s="62"/>
      <c r="O9" s="583"/>
    </row>
    <row r="10" spans="2:17" ht="16" customHeight="1" x14ac:dyDescent="0.3">
      <c r="B10" s="118"/>
      <c r="C10" s="122"/>
      <c r="D10" s="122"/>
      <c r="E10" s="123"/>
      <c r="F10" s="124"/>
      <c r="G10" s="62"/>
      <c r="H10" s="62"/>
      <c r="I10" s="62"/>
      <c r="J10" s="62"/>
      <c r="K10" s="62"/>
      <c r="L10" s="119"/>
      <c r="M10" s="62"/>
      <c r="N10" s="62"/>
      <c r="O10" s="583"/>
    </row>
    <row r="11" spans="2:17" ht="24" customHeight="1" x14ac:dyDescent="0.3">
      <c r="B11" s="118"/>
      <c r="C11" s="584" t="s">
        <v>44</v>
      </c>
      <c r="D11" s="1085" t="s">
        <v>81</v>
      </c>
      <c r="E11" s="1085"/>
      <c r="F11" s="1085"/>
      <c r="G11" s="1085"/>
      <c r="H11" s="1085"/>
      <c r="I11" s="1085"/>
      <c r="J11" s="1085"/>
      <c r="K11" s="1086"/>
      <c r="L11" s="119"/>
      <c r="M11" s="62"/>
      <c r="O11" s="62"/>
    </row>
    <row r="12" spans="2:17" ht="24" customHeight="1" x14ac:dyDescent="0.3">
      <c r="B12" s="118"/>
      <c r="C12" s="585" t="s">
        <v>45</v>
      </c>
      <c r="D12" s="1087" t="s">
        <v>555</v>
      </c>
      <c r="E12" s="1087"/>
      <c r="F12" s="1087"/>
      <c r="G12" s="1087"/>
      <c r="H12" s="1087"/>
      <c r="I12" s="1087"/>
      <c r="J12" s="1087"/>
      <c r="K12" s="1088"/>
      <c r="L12" s="119"/>
      <c r="M12" s="62"/>
      <c r="N12" s="4"/>
      <c r="O12" s="62"/>
    </row>
    <row r="13" spans="2:17" ht="24" customHeight="1" x14ac:dyDescent="0.3">
      <c r="B13" s="118"/>
      <c r="C13" s="585" t="s">
        <v>46</v>
      </c>
      <c r="D13" s="1087" t="s">
        <v>650</v>
      </c>
      <c r="E13" s="1087"/>
      <c r="F13" s="1087"/>
      <c r="G13" s="1087"/>
      <c r="H13" s="1087"/>
      <c r="I13" s="1087"/>
      <c r="J13" s="1087"/>
      <c r="K13" s="1088"/>
      <c r="L13" s="119"/>
      <c r="M13" s="62"/>
      <c r="N13" s="4"/>
      <c r="O13" s="62"/>
    </row>
    <row r="14" spans="2:17" ht="24" customHeight="1" x14ac:dyDescent="0.3">
      <c r="B14" s="118"/>
      <c r="C14" s="585" t="s">
        <v>46</v>
      </c>
      <c r="D14" s="1087" t="s">
        <v>526</v>
      </c>
      <c r="E14" s="1087"/>
      <c r="F14" s="1087"/>
      <c r="G14" s="1087"/>
      <c r="H14" s="1087"/>
      <c r="I14" s="1087"/>
      <c r="J14" s="1087"/>
      <c r="K14" s="1088"/>
      <c r="L14" s="119"/>
      <c r="M14" s="62"/>
    </row>
    <row r="15" spans="2:17" ht="24" customHeight="1" x14ac:dyDescent="0.3">
      <c r="B15" s="118"/>
      <c r="C15" s="585" t="s">
        <v>47</v>
      </c>
      <c r="D15" s="1087" t="s">
        <v>584</v>
      </c>
      <c r="E15" s="1087"/>
      <c r="F15" s="1087"/>
      <c r="G15" s="1087"/>
      <c r="H15" s="1087"/>
      <c r="I15" s="1087"/>
      <c r="J15" s="1087"/>
      <c r="K15" s="1088"/>
      <c r="L15" s="119"/>
      <c r="M15" s="62"/>
      <c r="N15" s="324"/>
      <c r="O15" s="62"/>
    </row>
    <row r="16" spans="2:17" ht="24" customHeight="1" x14ac:dyDescent="0.3">
      <c r="B16" s="118"/>
      <c r="C16" s="585" t="s">
        <v>69</v>
      </c>
      <c r="D16" s="1087" t="s">
        <v>585</v>
      </c>
      <c r="E16" s="1087"/>
      <c r="F16" s="1087"/>
      <c r="G16" s="1087"/>
      <c r="H16" s="1087"/>
      <c r="I16" s="1087"/>
      <c r="J16" s="1087"/>
      <c r="K16" s="1088"/>
      <c r="L16" s="119"/>
      <c r="M16" s="62"/>
      <c r="N16" s="324"/>
      <c r="O16" s="62"/>
    </row>
    <row r="17" spans="2:18" ht="24" customHeight="1" x14ac:dyDescent="0.3">
      <c r="B17" s="118"/>
      <c r="C17" s="585" t="s">
        <v>71</v>
      </c>
      <c r="D17" s="1087" t="s">
        <v>745</v>
      </c>
      <c r="E17" s="1087"/>
      <c r="F17" s="1087"/>
      <c r="G17" s="1087"/>
      <c r="H17" s="1087"/>
      <c r="I17" s="1087"/>
      <c r="J17" s="1087"/>
      <c r="K17" s="1088"/>
      <c r="L17" s="119"/>
      <c r="M17" s="62"/>
      <c r="N17" s="324"/>
      <c r="O17" s="62"/>
    </row>
    <row r="18" spans="2:18" ht="24" customHeight="1" x14ac:dyDescent="0.3">
      <c r="B18" s="586"/>
      <c r="C18" s="585" t="s">
        <v>554</v>
      </c>
      <c r="D18" s="1087" t="s">
        <v>763</v>
      </c>
      <c r="E18" s="1087"/>
      <c r="F18" s="1087"/>
      <c r="G18" s="1087"/>
      <c r="H18" s="1087"/>
      <c r="I18" s="1087"/>
      <c r="J18" s="1087"/>
      <c r="K18" s="1088"/>
      <c r="L18" s="326"/>
      <c r="N18" s="324"/>
      <c r="O18" s="405"/>
    </row>
    <row r="19" spans="2:18" ht="24" customHeight="1" x14ac:dyDescent="0.3">
      <c r="B19" s="586"/>
      <c r="C19" s="587" t="s">
        <v>639</v>
      </c>
      <c r="D19" s="1099" t="s">
        <v>48</v>
      </c>
      <c r="E19" s="1099"/>
      <c r="F19" s="1099"/>
      <c r="G19" s="1099"/>
      <c r="H19" s="1099"/>
      <c r="I19" s="1099"/>
      <c r="J19" s="1099"/>
      <c r="K19" s="1100"/>
      <c r="L19" s="326"/>
      <c r="N19" s="324"/>
      <c r="O19" s="405"/>
    </row>
    <row r="20" spans="2:18" ht="14.15" customHeight="1" x14ac:dyDescent="0.3">
      <c r="B20" s="171"/>
      <c r="C20" s="405"/>
      <c r="D20" s="405"/>
      <c r="L20" s="326"/>
      <c r="O20" s="405"/>
    </row>
    <row r="21" spans="2:18" ht="46" customHeight="1" x14ac:dyDescent="0.3">
      <c r="B21" s="171"/>
      <c r="C21" s="1091" t="s">
        <v>397</v>
      </c>
      <c r="D21" s="1091"/>
      <c r="E21" s="1091"/>
      <c r="F21" s="1091"/>
      <c r="G21" s="1091"/>
      <c r="H21" s="588" t="s">
        <v>852</v>
      </c>
      <c r="I21" s="589"/>
      <c r="J21" s="1093" t="s">
        <v>859</v>
      </c>
      <c r="K21" s="1093"/>
      <c r="L21" s="326"/>
    </row>
    <row r="22" spans="2:18" ht="40" customHeight="1" x14ac:dyDescent="0.3">
      <c r="B22" s="171"/>
      <c r="C22" s="1092" t="str">
        <f>IF(Formulaire_Demande!G130="","",Formulaire_Demande!G130)</f>
        <v/>
      </c>
      <c r="D22" s="1092"/>
      <c r="E22" s="1092"/>
      <c r="F22" s="1092"/>
      <c r="G22" s="1092"/>
      <c r="H22" s="23"/>
      <c r="I22" s="589"/>
      <c r="J22" s="1089"/>
      <c r="K22" s="1089"/>
      <c r="L22" s="326"/>
    </row>
    <row r="23" spans="2:18" ht="40" customHeight="1" x14ac:dyDescent="0.3">
      <c r="B23" s="171"/>
      <c r="C23" s="1092" t="str">
        <f>IF(Formulaire_Demande!G131="","",Formulaire_Demande!G131)</f>
        <v/>
      </c>
      <c r="D23" s="1092"/>
      <c r="E23" s="1092"/>
      <c r="F23" s="1092"/>
      <c r="G23" s="1092"/>
      <c r="H23" s="23"/>
      <c r="I23" s="589"/>
      <c r="J23" s="1089"/>
      <c r="K23" s="1089"/>
      <c r="L23" s="326"/>
    </row>
    <row r="24" spans="2:18" ht="40" customHeight="1" x14ac:dyDescent="0.3">
      <c r="B24" s="171"/>
      <c r="C24" s="1092" t="str">
        <f>IF(Formulaire_Demande!G132="","",Formulaire_Demande!G132)</f>
        <v/>
      </c>
      <c r="D24" s="1092"/>
      <c r="E24" s="1092"/>
      <c r="F24" s="1092"/>
      <c r="G24" s="1092"/>
      <c r="H24" s="23"/>
      <c r="I24" s="589"/>
      <c r="J24" s="1089"/>
      <c r="K24" s="1089"/>
      <c r="L24" s="326"/>
    </row>
    <row r="25" spans="2:18" ht="40" customHeight="1" x14ac:dyDescent="0.3">
      <c r="B25" s="171"/>
      <c r="C25" s="1092" t="str">
        <f>IF(Formulaire_Demande!G133="","",Formulaire_Demande!G133)</f>
        <v/>
      </c>
      <c r="D25" s="1092"/>
      <c r="E25" s="1092"/>
      <c r="F25" s="1092"/>
      <c r="G25" s="1092"/>
      <c r="H25" s="23"/>
      <c r="I25" s="589"/>
      <c r="J25" s="1089"/>
      <c r="K25" s="1089"/>
      <c r="L25" s="326"/>
    </row>
    <row r="26" spans="2:18" ht="40" customHeight="1" x14ac:dyDescent="0.3">
      <c r="B26" s="171"/>
      <c r="C26" s="1092" t="str">
        <f>IF(Formulaire_Demande!G134="","",Formulaire_Demande!G134)</f>
        <v/>
      </c>
      <c r="D26" s="1092"/>
      <c r="E26" s="1092"/>
      <c r="F26" s="1092"/>
      <c r="G26" s="1092"/>
      <c r="H26" s="23"/>
      <c r="I26" s="589"/>
      <c r="J26" s="1089"/>
      <c r="K26" s="1089"/>
      <c r="L26" s="326"/>
    </row>
    <row r="27" spans="2:18" ht="10" customHeight="1" x14ac:dyDescent="0.3">
      <c r="B27" s="586"/>
      <c r="C27" s="840"/>
      <c r="D27" s="840"/>
      <c r="E27" s="840"/>
      <c r="F27" s="840"/>
      <c r="G27" s="324"/>
      <c r="H27" s="324"/>
      <c r="I27" s="324"/>
      <c r="J27" s="324"/>
      <c r="K27" s="324"/>
      <c r="L27" s="326"/>
      <c r="N27" s="381"/>
      <c r="O27" s="381"/>
      <c r="P27" s="381"/>
      <c r="Q27" s="381"/>
      <c r="R27" s="381"/>
    </row>
    <row r="28" spans="2:18" ht="22" customHeight="1" x14ac:dyDescent="0.3">
      <c r="B28" s="171"/>
      <c r="C28" s="1091" t="s">
        <v>836</v>
      </c>
      <c r="D28" s="1091"/>
      <c r="E28" s="1091"/>
      <c r="L28" s="326"/>
      <c r="O28" s="405"/>
    </row>
    <row r="29" spans="2:18" s="62" customFormat="1" ht="20" customHeight="1" x14ac:dyDescent="0.35">
      <c r="B29" s="118"/>
      <c r="C29" s="840" t="s">
        <v>512</v>
      </c>
      <c r="D29" s="840"/>
      <c r="E29" s="840"/>
      <c r="F29" s="840"/>
      <c r="G29" s="840"/>
      <c r="H29" s="840"/>
      <c r="I29" s="840"/>
      <c r="J29" s="840"/>
      <c r="K29" s="840"/>
      <c r="L29" s="119"/>
      <c r="O29" s="405"/>
    </row>
    <row r="30" spans="2:18" ht="140" customHeight="1" x14ac:dyDescent="0.3">
      <c r="B30" s="171"/>
      <c r="C30" s="1101"/>
      <c r="D30" s="1102"/>
      <c r="E30" s="1102"/>
      <c r="F30" s="1102"/>
      <c r="G30" s="1102"/>
      <c r="H30" s="1102"/>
      <c r="I30" s="1102"/>
      <c r="J30" s="1102"/>
      <c r="K30" s="1103"/>
      <c r="L30" s="326"/>
      <c r="O30" s="405"/>
    </row>
    <row r="31" spans="2:18" ht="10" customHeight="1" x14ac:dyDescent="0.3">
      <c r="B31" s="171"/>
      <c r="C31" s="405"/>
      <c r="D31" s="405"/>
      <c r="L31" s="326"/>
      <c r="O31" s="405"/>
    </row>
    <row r="32" spans="2:18" s="62" customFormat="1" ht="20" customHeight="1" x14ac:dyDescent="0.35">
      <c r="B32" s="118"/>
      <c r="C32" s="840" t="s">
        <v>413</v>
      </c>
      <c r="D32" s="840"/>
      <c r="E32" s="840"/>
      <c r="F32" s="840"/>
      <c r="G32" s="840"/>
      <c r="H32" s="840"/>
      <c r="I32" s="840"/>
      <c r="J32" s="840"/>
      <c r="K32" s="840"/>
      <c r="L32" s="119"/>
      <c r="O32" s="405"/>
    </row>
    <row r="33" spans="2:15" ht="140" customHeight="1" x14ac:dyDescent="0.3">
      <c r="B33" s="171"/>
      <c r="C33" s="1101"/>
      <c r="D33" s="1102"/>
      <c r="E33" s="1102"/>
      <c r="F33" s="1102"/>
      <c r="G33" s="1102"/>
      <c r="H33" s="1102"/>
      <c r="I33" s="1102"/>
      <c r="J33" s="1102"/>
      <c r="K33" s="1103"/>
      <c r="L33" s="326"/>
      <c r="O33" s="405"/>
    </row>
    <row r="34" spans="2:15" ht="10" customHeight="1" x14ac:dyDescent="0.3">
      <c r="B34" s="171"/>
      <c r="C34" s="405"/>
      <c r="D34" s="405"/>
      <c r="L34" s="326"/>
      <c r="O34" s="405"/>
    </row>
    <row r="35" spans="2:15" ht="28" customHeight="1" x14ac:dyDescent="0.3">
      <c r="B35" s="586"/>
      <c r="C35" s="840" t="s">
        <v>853</v>
      </c>
      <c r="D35" s="840"/>
      <c r="E35" s="840"/>
      <c r="F35" s="840"/>
      <c r="G35" s="840"/>
      <c r="H35" s="840"/>
      <c r="I35" s="840"/>
      <c r="J35" s="1105"/>
      <c r="K35" s="34"/>
      <c r="L35" s="326"/>
    </row>
    <row r="36" spans="2:15" ht="22" customHeight="1" x14ac:dyDescent="0.3">
      <c r="B36" s="586"/>
      <c r="C36" s="1104" t="str">
        <f>IF(K35="Non","* Pourquoi?",IF(K35="Oui","* Mentionnez les prochaines actions qui seront mises en place pour votre développement commercial.",""))</f>
        <v/>
      </c>
      <c r="D36" s="1104"/>
      <c r="E36" s="1104"/>
      <c r="F36" s="1104"/>
      <c r="G36" s="1104"/>
      <c r="H36" s="1104"/>
      <c r="I36" s="1104"/>
      <c r="J36" s="1104"/>
      <c r="K36" s="1104"/>
      <c r="L36" s="326"/>
    </row>
    <row r="37" spans="2:15" ht="32.15" customHeight="1" x14ac:dyDescent="0.3">
      <c r="B37" s="118"/>
      <c r="C37" s="1097"/>
      <c r="D37" s="1097"/>
      <c r="E37" s="1097"/>
      <c r="F37" s="1097"/>
      <c r="G37" s="1097"/>
      <c r="H37" s="1097"/>
      <c r="I37" s="1097"/>
      <c r="J37" s="1097"/>
      <c r="K37" s="1097"/>
      <c r="L37" s="326"/>
      <c r="O37" s="590"/>
    </row>
    <row r="38" spans="2:15" ht="32.15" customHeight="1" x14ac:dyDescent="0.3">
      <c r="B38" s="118"/>
      <c r="C38" s="1097"/>
      <c r="D38" s="1097"/>
      <c r="E38" s="1097"/>
      <c r="F38" s="1097"/>
      <c r="G38" s="1097"/>
      <c r="H38" s="1097"/>
      <c r="I38" s="1097"/>
      <c r="J38" s="1097"/>
      <c r="K38" s="1097"/>
      <c r="L38" s="326"/>
      <c r="O38" s="590"/>
    </row>
    <row r="39" spans="2:15" ht="32.15" customHeight="1" x14ac:dyDescent="0.3">
      <c r="B39" s="118"/>
      <c r="C39" s="1097"/>
      <c r="D39" s="1097"/>
      <c r="E39" s="1097"/>
      <c r="F39" s="1097"/>
      <c r="G39" s="1097"/>
      <c r="H39" s="1097"/>
      <c r="I39" s="1097"/>
      <c r="J39" s="1097"/>
      <c r="K39" s="1097"/>
      <c r="L39" s="326"/>
      <c r="O39" s="590"/>
    </row>
    <row r="40" spans="2:15" ht="14.15" customHeight="1" thickBot="1" x14ac:dyDescent="0.35">
      <c r="B40" s="193"/>
      <c r="C40" s="194"/>
      <c r="D40" s="194"/>
      <c r="E40" s="194"/>
      <c r="F40" s="194"/>
      <c r="G40" s="194"/>
      <c r="H40" s="194"/>
      <c r="I40" s="194"/>
      <c r="J40" s="194"/>
      <c r="K40" s="194"/>
      <c r="L40" s="382"/>
    </row>
    <row r="41" spans="2:15" x14ac:dyDescent="0.3">
      <c r="B41" s="1"/>
    </row>
    <row r="42" spans="2:15" x14ac:dyDescent="0.3">
      <c r="B42" s="1"/>
    </row>
    <row r="43" spans="2:15" x14ac:dyDescent="0.3">
      <c r="B43" s="1"/>
    </row>
  </sheetData>
  <sheetProtection algorithmName="SHA-512" hashValue="Yt2ewJgE2anuGV27YhwA0JK8kvqwWsII8JiHgEKRdEC2xBUUYq9jdBiYVperx53qsE8tveJWCte4LPY3Rk6KDQ==" saltValue="sZZiDpN2ZjQs5Jkptu2bBg==" spinCount="100000" sheet="1" objects="1" scenarios="1" formatRows="0"/>
  <mergeCells count="38">
    <mergeCell ref="C37:K37"/>
    <mergeCell ref="C38:K38"/>
    <mergeCell ref="C39:K39"/>
    <mergeCell ref="J3:L3"/>
    <mergeCell ref="C9:K9"/>
    <mergeCell ref="D17:K17"/>
    <mergeCell ref="D18:K18"/>
    <mergeCell ref="D19:K19"/>
    <mergeCell ref="D12:K12"/>
    <mergeCell ref="D16:K16"/>
    <mergeCell ref="C30:K30"/>
    <mergeCell ref="C29:K29"/>
    <mergeCell ref="C33:K33"/>
    <mergeCell ref="C32:K32"/>
    <mergeCell ref="C36:K36"/>
    <mergeCell ref="C35:J35"/>
    <mergeCell ref="D2:L2"/>
    <mergeCell ref="H4:L4"/>
    <mergeCell ref="E1:L1"/>
    <mergeCell ref="C28:E28"/>
    <mergeCell ref="C22:G22"/>
    <mergeCell ref="C21:G21"/>
    <mergeCell ref="J21:K21"/>
    <mergeCell ref="J22:K22"/>
    <mergeCell ref="C23:G23"/>
    <mergeCell ref="C24:G24"/>
    <mergeCell ref="C25:G25"/>
    <mergeCell ref="C26:G26"/>
    <mergeCell ref="J23:K23"/>
    <mergeCell ref="J24:K24"/>
    <mergeCell ref="J25:K25"/>
    <mergeCell ref="C7:K7"/>
    <mergeCell ref="C27:F27"/>
    <mergeCell ref="D11:K11"/>
    <mergeCell ref="D14:K14"/>
    <mergeCell ref="D15:K15"/>
    <mergeCell ref="J26:K26"/>
    <mergeCell ref="D13:K13"/>
  </mergeCells>
  <conditionalFormatting sqref="C9:K9">
    <cfRule type="notContainsBlanks" dxfId="32" priority="15">
      <formula>LEN(TRIM(C9))&gt;0</formula>
    </cfRule>
  </conditionalFormatting>
  <conditionalFormatting sqref="C37:K39">
    <cfRule type="expression" dxfId="31" priority="121">
      <formula>$K$35&lt;&gt;""</formula>
    </cfRule>
  </conditionalFormatting>
  <conditionalFormatting sqref="G27:G28 G31 G34">
    <cfRule type="dataBar" priority="14">
      <dataBar>
        <cfvo type="min"/>
        <cfvo type="num" val="10"/>
        <color theme="4" tint="0.39997558519241921"/>
      </dataBar>
      <extLst>
        <ext xmlns:x14="http://schemas.microsoft.com/office/spreadsheetml/2009/9/main" uri="{B025F937-C7B1-47D3-B67F-A62EFF666E3E}">
          <x14:id>{FE1C1D2A-7B78-437D-8FFF-9EC6972CE28D}</x14:id>
        </ext>
      </extLst>
    </cfRule>
  </conditionalFormatting>
  <conditionalFormatting sqref="H22:H26">
    <cfRule type="expression" dxfId="30" priority="9">
      <formula>C22&lt;&gt;""</formula>
    </cfRule>
  </conditionalFormatting>
  <conditionalFormatting sqref="J22:K26">
    <cfRule type="expression" dxfId="29" priority="8">
      <formula>C22&lt;&gt;""</formula>
    </cfRule>
  </conditionalFormatting>
  <hyperlinks>
    <hyperlink ref="D14:K14" location="RAPPORT_FINAL_Calendrier!D20" display="Vérifier et au besoin, ajuster les informations - onglet RAPPORT_FINAL_Calendrier cliquer ici" xr:uid="{BB5E4D1A-3D1F-4726-A226-80BFDD8C0438}"/>
    <hyperlink ref="D11:K11" location="Statistiques!F16" display="Compléter la section Rapport final des statistiques - onglet Statistiques cliquer ici" xr:uid="{A83264B6-EC7B-4DBE-AFE9-CE50BFD7B385}"/>
    <hyperlink ref="D18:K18" location="Formulaire_Demande!I231" display="Compléter la section Rapport final des sources de revenus - Section H cliquer ici" xr:uid="{8383F0BC-457F-4C00-AEDF-CD1C0D4E6AD8}"/>
    <hyperlink ref="D17:K17" location="Formulaire_Demande!I204" display="Compléter la section Rapport final du budget - Section G cliquer ici" xr:uid="{AA5EFE2C-7694-4B83-BCB0-6C6E80313017}"/>
    <hyperlink ref="D15:K15" location="RAPPORT_FINAL_Équipe_Tournée!C7" display="Vérifier et au besoin, ajuster les informations - onglet RAPPORT_FINAL_Équipe_Tournée cliquer ici" xr:uid="{0EDD470C-BF52-4E1E-9ACE-6831ED97F7C0}"/>
    <hyperlink ref="D12:K12" location="RAPPORT_FINAL_Calendrier!D82" display="Ajouter au besoin les dates hors calendrier original - onglet RAPPORT_FINAL_Calendrier cliquer ici" xr:uid="{92F31825-B811-4541-8E53-2D8253D1C64B}"/>
    <hyperlink ref="D16:K16" location="RAPPORT_FINAL_Transport!C7" display="Vérifier et au besoin, ajuster les informations - onglet RAPPORT_FINAL_Tranport cliquer ici" xr:uid="{66B589E1-700F-45FE-A9C5-0831D7B18731}"/>
    <hyperlink ref="D13:K13" location="RAPPORT_FINAL_Calendrier!L20" display="Ajouter les assistances pour chacun des spectacles - onglet RAPPORT_FINAL_Calendrier cliquer ici" xr:uid="{497EFF4F-351C-4554-9B8D-3094EEE3CC34}"/>
  </hyperlinks>
  <pageMargins left="0.25" right="0.25" top="0.75" bottom="0.75" header="0.3" footer="0.3"/>
  <pageSetup paperSize="3" scale="92" fitToHeight="2" orientation="portrait" r:id="rId1"/>
  <drawing r:id="rId2"/>
  <extLst>
    <ext xmlns:x14="http://schemas.microsoft.com/office/spreadsheetml/2009/9/main" uri="{78C0D931-6437-407d-A8EE-F0AAD7539E65}">
      <x14:conditionalFormattings>
        <x14:conditionalFormatting xmlns:xm="http://schemas.microsoft.com/office/excel/2006/main">
          <x14:cfRule type="dataBar" id="{FE1C1D2A-7B78-437D-8FFF-9EC6972CE28D}">
            <x14:dataBar minLength="0" maxLength="100" gradient="0">
              <x14:cfvo type="autoMin"/>
              <x14:cfvo type="num">
                <xm:f>10</xm:f>
              </x14:cfvo>
              <x14:negativeFillColor rgb="FFFF0000"/>
              <x14:axisColor rgb="FF000000"/>
            </x14:dataBar>
          </x14:cfRule>
          <xm:sqref>G27:G28 G31 G34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Sélectionner dans la liste" xr:uid="{C9EB2D40-ADCA-4454-88E3-1C3E8BEAA808}">
          <x14:formula1>
            <xm:f>Paramètres!$A$2:$A$3</xm:f>
          </x14:formula1>
          <xm:sqref>K35 H22:H26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2732-8CEA-4FA3-92A2-B07F71CB56DB}">
  <sheetPr>
    <tabColor rgb="FF8FE2FF"/>
    <pageSetUpPr fitToPage="1"/>
  </sheetPr>
  <dimension ref="B1:AE101"/>
  <sheetViews>
    <sheetView showGridLines="0" zoomScale="90" zoomScaleNormal="90" workbookViewId="0">
      <selection activeCell="C7" sqref="C7:N7"/>
    </sheetView>
  </sheetViews>
  <sheetFormatPr baseColWidth="10" defaultColWidth="10.81640625" defaultRowHeight="14" x14ac:dyDescent="0.3"/>
  <cols>
    <col min="1" max="1" width="1.54296875" style="1" customWidth="1"/>
    <col min="2" max="2" width="2.54296875" style="1" customWidth="1"/>
    <col min="3" max="3" width="4.90625" style="418" customWidth="1"/>
    <col min="4" max="4" width="14.1796875" style="418" customWidth="1"/>
    <col min="5" max="5" width="22.6328125" style="1" customWidth="1"/>
    <col min="6" max="6" width="6.6328125" style="2" customWidth="1"/>
    <col min="7" max="7" width="40.6328125" style="1" customWidth="1"/>
    <col min="8" max="8" width="6.6328125" style="1" customWidth="1"/>
    <col min="9" max="9" width="14.6328125" style="1" customWidth="1"/>
    <col min="10" max="10" width="40.6328125" style="1" customWidth="1"/>
    <col min="11" max="11" width="12.6328125" style="2" customWidth="1"/>
    <col min="12" max="12" width="14.1796875" style="2" customWidth="1"/>
    <col min="13" max="13" width="12.1796875" style="1" customWidth="1"/>
    <col min="14" max="14" width="13.08984375" style="1" customWidth="1"/>
    <col min="15" max="15" width="2.54296875" style="1" customWidth="1"/>
    <col min="16" max="16" width="1.54296875" style="1" customWidth="1"/>
    <col min="17" max="17" width="26.6328125" style="1" customWidth="1"/>
    <col min="18" max="18" width="14.54296875" style="428" hidden="1" customWidth="1"/>
    <col min="19" max="19" width="8.54296875" style="428" hidden="1" customWidth="1"/>
    <col min="20" max="20" width="9.90625" style="428" hidden="1" customWidth="1"/>
    <col min="21" max="21" width="9.90625" style="429" hidden="1" customWidth="1"/>
    <col min="22" max="22" width="13.6328125" style="429" hidden="1" customWidth="1"/>
    <col min="23" max="23" width="8.1796875" style="429" hidden="1" customWidth="1"/>
    <col min="24" max="24" width="10.08984375" style="428" hidden="1" customWidth="1"/>
    <col min="25" max="25" width="9.6328125" style="428" hidden="1" customWidth="1"/>
    <col min="26" max="26" width="8.81640625" style="430" hidden="1" customWidth="1"/>
    <col min="27" max="28" width="8.81640625" style="429" hidden="1" customWidth="1"/>
    <col min="29" max="29" width="8.81640625" style="430" hidden="1" customWidth="1"/>
    <col min="30" max="30" width="9.81640625" style="430" hidden="1" customWidth="1"/>
    <col min="31" max="31" width="9.6328125" style="425" hidden="1" customWidth="1"/>
    <col min="32" max="16384" width="10.81640625" style="1"/>
  </cols>
  <sheetData>
    <row r="1" spans="2:30" ht="36" customHeight="1" x14ac:dyDescent="0.3">
      <c r="E1" s="893" t="s">
        <v>571</v>
      </c>
      <c r="F1" s="893"/>
      <c r="G1" s="893"/>
      <c r="H1" s="893"/>
      <c r="I1" s="893"/>
      <c r="J1" s="893"/>
      <c r="K1" s="893"/>
      <c r="L1" s="893"/>
      <c r="M1" s="893"/>
      <c r="N1" s="893"/>
      <c r="O1" s="893"/>
      <c r="P1" s="400"/>
      <c r="Q1" s="400"/>
      <c r="R1" s="400"/>
      <c r="S1" s="400"/>
      <c r="T1" s="400"/>
      <c r="U1" s="400"/>
      <c r="V1" s="400"/>
      <c r="W1" s="400"/>
      <c r="X1" s="422"/>
      <c r="Y1" s="422"/>
      <c r="Z1" s="424"/>
      <c r="AA1" s="422"/>
      <c r="AB1" s="422"/>
      <c r="AC1" s="424"/>
      <c r="AD1" s="424"/>
    </row>
    <row r="2" spans="2:30" ht="16" customHeight="1" x14ac:dyDescent="0.3">
      <c r="E2" s="899" t="s">
        <v>87</v>
      </c>
      <c r="F2" s="899"/>
      <c r="G2" s="899"/>
      <c r="H2" s="899"/>
      <c r="I2" s="899"/>
      <c r="J2" s="899"/>
      <c r="K2" s="899"/>
      <c r="L2" s="899"/>
      <c r="M2" s="899"/>
      <c r="N2" s="899"/>
      <c r="O2" s="899"/>
      <c r="P2" s="509"/>
      <c r="Q2" s="509"/>
      <c r="R2" s="509"/>
      <c r="S2" s="509"/>
      <c r="T2" s="509"/>
      <c r="U2" s="509"/>
      <c r="V2" s="422"/>
      <c r="W2" s="422"/>
      <c r="X2" s="422"/>
      <c r="Y2" s="422"/>
      <c r="Z2" s="424"/>
      <c r="AA2" s="422"/>
      <c r="AB2" s="422"/>
      <c r="AC2" s="424"/>
      <c r="AD2" s="424"/>
    </row>
    <row r="3" spans="2:30" ht="16" customHeight="1" x14ac:dyDescent="0.35">
      <c r="F3" s="104"/>
      <c r="G3" s="104"/>
      <c r="H3" s="104"/>
      <c r="I3" s="104"/>
      <c r="J3" s="893" t="s">
        <v>383</v>
      </c>
      <c r="K3" s="893"/>
      <c r="L3" s="893"/>
      <c r="M3" s="893"/>
      <c r="N3" s="893"/>
      <c r="O3" s="893"/>
      <c r="P3" s="419"/>
      <c r="Q3" s="419"/>
      <c r="R3" s="421"/>
      <c r="S3" s="421"/>
      <c r="U3" s="422"/>
      <c r="V3" s="422"/>
      <c r="W3" s="422"/>
      <c r="X3" s="422"/>
      <c r="Y3" s="422"/>
      <c r="Z3" s="424"/>
      <c r="AA3" s="422"/>
      <c r="AB3" s="422"/>
      <c r="AC3" s="424"/>
      <c r="AD3" s="424"/>
    </row>
    <row r="4" spans="2:30" ht="12" customHeight="1" x14ac:dyDescent="0.3">
      <c r="F4" s="104"/>
      <c r="G4" s="104"/>
      <c r="H4" s="104"/>
      <c r="I4" s="104"/>
      <c r="J4" s="898" t="s">
        <v>858</v>
      </c>
      <c r="K4" s="898"/>
      <c r="L4" s="898"/>
      <c r="M4" s="898"/>
      <c r="N4" s="898"/>
      <c r="O4" s="898"/>
      <c r="P4" s="513"/>
      <c r="Q4" s="513"/>
      <c r="R4" s="513"/>
      <c r="S4" s="421"/>
      <c r="U4" s="422"/>
      <c r="V4" s="422"/>
      <c r="W4" s="422"/>
      <c r="X4" s="422"/>
      <c r="Y4" s="422"/>
      <c r="Z4" s="424"/>
      <c r="AA4" s="422"/>
      <c r="AB4" s="422"/>
      <c r="AC4" s="424"/>
      <c r="AD4" s="424"/>
    </row>
    <row r="5" spans="2:30" ht="10" customHeight="1" thickBot="1" x14ac:dyDescent="0.4">
      <c r="F5" s="104"/>
      <c r="G5" s="104"/>
      <c r="H5" s="104"/>
      <c r="I5" s="104"/>
      <c r="J5" s="104"/>
      <c r="K5" s="104"/>
      <c r="L5" s="104"/>
      <c r="M5" s="104"/>
      <c r="N5" s="104"/>
      <c r="O5" s="104"/>
      <c r="P5" s="419"/>
      <c r="Q5" s="419"/>
      <c r="R5" s="421"/>
      <c r="S5" s="421"/>
      <c r="U5" s="422"/>
      <c r="V5" s="422"/>
      <c r="W5" s="422"/>
      <c r="X5" s="422"/>
      <c r="Y5" s="422"/>
      <c r="Z5" s="424"/>
      <c r="AA5" s="422"/>
      <c r="AB5" s="422"/>
      <c r="AC5" s="424"/>
      <c r="AD5" s="424"/>
    </row>
    <row r="6" spans="2:30" ht="10" customHeight="1" x14ac:dyDescent="0.3">
      <c r="B6" s="393"/>
      <c r="C6" s="431"/>
      <c r="D6" s="431"/>
      <c r="E6" s="432"/>
      <c r="F6" s="403"/>
      <c r="G6" s="432"/>
      <c r="H6" s="432"/>
      <c r="I6" s="432"/>
      <c r="J6" s="432"/>
      <c r="K6" s="403"/>
      <c r="L6" s="403"/>
      <c r="M6" s="432"/>
      <c r="N6" s="432"/>
      <c r="O6" s="394"/>
    </row>
    <row r="7" spans="2:30" ht="26" customHeight="1" x14ac:dyDescent="0.3">
      <c r="B7" s="171"/>
      <c r="C7" s="1113" t="s">
        <v>497</v>
      </c>
      <c r="D7" s="1114"/>
      <c r="E7" s="1114"/>
      <c r="F7" s="1114"/>
      <c r="G7" s="1114"/>
      <c r="H7" s="1114"/>
      <c r="I7" s="1114"/>
      <c r="J7" s="1114"/>
      <c r="K7" s="1114"/>
      <c r="L7" s="1114"/>
      <c r="M7" s="1114"/>
      <c r="N7" s="1115"/>
      <c r="O7" s="326"/>
    </row>
    <row r="8" spans="2:30" ht="10" customHeight="1" x14ac:dyDescent="0.3">
      <c r="B8" s="171"/>
      <c r="E8" s="433"/>
      <c r="F8" s="434"/>
      <c r="G8" s="433"/>
      <c r="H8" s="433"/>
      <c r="I8" s="433"/>
      <c r="O8" s="326"/>
    </row>
    <row r="9" spans="2:30" ht="28" customHeight="1" x14ac:dyDescent="0.3">
      <c r="B9" s="171"/>
      <c r="C9" s="855" t="s">
        <v>64</v>
      </c>
      <c r="D9" s="855"/>
      <c r="E9" s="855"/>
      <c r="F9" s="855"/>
      <c r="G9" s="855"/>
      <c r="H9" s="855"/>
      <c r="I9" s="855"/>
      <c r="J9" s="855"/>
      <c r="K9" s="855"/>
      <c r="L9" s="855"/>
      <c r="M9" s="855"/>
      <c r="O9" s="326"/>
    </row>
    <row r="10" spans="2:30" ht="44" customHeight="1" x14ac:dyDescent="0.3">
      <c r="B10" s="171"/>
      <c r="C10" s="1116" t="s">
        <v>586</v>
      </c>
      <c r="D10" s="1117"/>
      <c r="E10" s="1117"/>
      <c r="F10" s="1117"/>
      <c r="G10" s="1117"/>
      <c r="H10" s="1117"/>
      <c r="I10" s="1117"/>
      <c r="J10" s="1117"/>
      <c r="K10" s="1117"/>
      <c r="L10" s="1117"/>
      <c r="M10" s="1117"/>
      <c r="N10" s="1117"/>
      <c r="O10" s="326"/>
    </row>
    <row r="11" spans="2:30" ht="10" customHeight="1" x14ac:dyDescent="0.3">
      <c r="B11" s="171"/>
      <c r="C11" s="591"/>
      <c r="D11" s="592"/>
      <c r="E11" s="592"/>
      <c r="F11" s="592"/>
      <c r="G11" s="592"/>
      <c r="H11" s="592"/>
      <c r="I11" s="592"/>
      <c r="J11" s="592"/>
      <c r="K11" s="592"/>
      <c r="L11" s="592"/>
      <c r="M11" s="592"/>
      <c r="N11" s="591"/>
      <c r="O11" s="326"/>
    </row>
    <row r="12" spans="2:30" ht="22" customHeight="1" x14ac:dyDescent="0.3">
      <c r="B12" s="171"/>
      <c r="C12" s="1111" t="s">
        <v>653</v>
      </c>
      <c r="D12" s="1111"/>
      <c r="E12" s="1111"/>
      <c r="F12" s="1111"/>
      <c r="G12" s="1111"/>
      <c r="H12" s="1111"/>
      <c r="I12" s="1111"/>
      <c r="J12" s="1111"/>
      <c r="K12" s="1111"/>
      <c r="L12" s="1111"/>
      <c r="M12" s="1111"/>
      <c r="N12" s="1111"/>
      <c r="O12" s="326"/>
      <c r="Q12" s="4"/>
    </row>
    <row r="13" spans="2:30" ht="22" customHeight="1" x14ac:dyDescent="0.3">
      <c r="B13" s="171"/>
      <c r="C13" s="1111" t="s">
        <v>651</v>
      </c>
      <c r="D13" s="1111"/>
      <c r="E13" s="1111"/>
      <c r="F13" s="1111"/>
      <c r="G13" s="1111"/>
      <c r="H13" s="1111"/>
      <c r="I13" s="1111"/>
      <c r="J13" s="1111"/>
      <c r="K13" s="1111"/>
      <c r="L13" s="1111"/>
      <c r="M13" s="1111"/>
      <c r="N13" s="1111"/>
      <c r="O13" s="326"/>
    </row>
    <row r="14" spans="2:30" ht="22" customHeight="1" x14ac:dyDescent="0.3">
      <c r="B14" s="171"/>
      <c r="C14" s="1112" t="s">
        <v>654</v>
      </c>
      <c r="D14" s="1112"/>
      <c r="E14" s="1112"/>
      <c r="F14" s="1112"/>
      <c r="G14" s="1112"/>
      <c r="H14" s="1112"/>
      <c r="I14" s="1112"/>
      <c r="J14" s="1112"/>
      <c r="K14" s="1112"/>
      <c r="L14" s="1112"/>
      <c r="M14" s="1112"/>
      <c r="N14" s="1112"/>
      <c r="O14" s="326"/>
    </row>
    <row r="15" spans="2:30" ht="22" customHeight="1" x14ac:dyDescent="0.3">
      <c r="B15" s="171"/>
      <c r="C15" s="1111" t="s">
        <v>652</v>
      </c>
      <c r="D15" s="1111"/>
      <c r="E15" s="1111"/>
      <c r="F15" s="1111"/>
      <c r="G15" s="1111"/>
      <c r="H15" s="1111"/>
      <c r="I15" s="1111"/>
      <c r="J15" s="1111"/>
      <c r="K15" s="1111"/>
      <c r="L15" s="1111"/>
      <c r="M15" s="1111"/>
      <c r="N15" s="1111"/>
      <c r="O15" s="326"/>
    </row>
    <row r="16" spans="2:30" ht="22" customHeight="1" x14ac:dyDescent="0.3">
      <c r="B16" s="171"/>
      <c r="C16" s="1111" t="s">
        <v>732</v>
      </c>
      <c r="D16" s="1111"/>
      <c r="E16" s="1111"/>
      <c r="F16" s="1111"/>
      <c r="G16" s="1111"/>
      <c r="H16" s="1111"/>
      <c r="I16" s="1111"/>
      <c r="J16" s="1111"/>
      <c r="K16" s="1111"/>
      <c r="L16" s="1111"/>
      <c r="M16" s="1111"/>
      <c r="N16" s="1111"/>
      <c r="O16" s="326"/>
    </row>
    <row r="17" spans="2:31" ht="22" customHeight="1" x14ac:dyDescent="0.3">
      <c r="B17" s="171"/>
      <c r="C17" s="1111" t="s">
        <v>744</v>
      </c>
      <c r="D17" s="1111"/>
      <c r="E17" s="1111"/>
      <c r="F17" s="1111"/>
      <c r="G17" s="1111"/>
      <c r="H17" s="1111"/>
      <c r="I17" s="1111"/>
      <c r="J17" s="1111"/>
      <c r="K17" s="1111"/>
      <c r="L17" s="1111"/>
      <c r="M17" s="1111"/>
      <c r="N17" s="1111"/>
      <c r="O17" s="326"/>
    </row>
    <row r="18" spans="2:31" ht="10" customHeight="1" x14ac:dyDescent="0.35">
      <c r="B18" s="171"/>
      <c r="C18" s="436"/>
      <c r="D18" s="438"/>
      <c r="E18" s="433"/>
      <c r="F18" s="434"/>
      <c r="G18" s="433"/>
      <c r="H18" s="433"/>
      <c r="I18" s="433"/>
      <c r="O18" s="326"/>
    </row>
    <row r="19" spans="2:31" s="370" customFormat="1" ht="106" customHeight="1" x14ac:dyDescent="0.35">
      <c r="B19" s="439"/>
      <c r="C19" s="593"/>
      <c r="D19" s="593" t="s">
        <v>590</v>
      </c>
      <c r="E19" s="594" t="s">
        <v>591</v>
      </c>
      <c r="F19" s="595" t="s">
        <v>449</v>
      </c>
      <c r="G19" s="596" t="s">
        <v>378</v>
      </c>
      <c r="H19" s="597" t="s">
        <v>379</v>
      </c>
      <c r="I19" s="598" t="s">
        <v>31</v>
      </c>
      <c r="J19" s="596" t="s">
        <v>592</v>
      </c>
      <c r="K19" s="594" t="s">
        <v>562</v>
      </c>
      <c r="L19" s="594" t="s">
        <v>498</v>
      </c>
      <c r="M19" s="594" t="s">
        <v>844</v>
      </c>
      <c r="N19" s="594" t="s">
        <v>845</v>
      </c>
      <c r="O19" s="446"/>
      <c r="P19" s="439"/>
      <c r="Q19" s="72" t="str">
        <f>IF(L70=0,"N'oubliez pas d'ajouter l'assistance pour chaque spectacle","")</f>
        <v>N'oubliez pas d'ajouter l'assistance pour chaque spectacle</v>
      </c>
      <c r="R19" s="448" t="s">
        <v>403</v>
      </c>
      <c r="S19" s="448" t="s">
        <v>404</v>
      </c>
      <c r="T19" s="448" t="s">
        <v>405</v>
      </c>
      <c r="U19" s="448" t="s">
        <v>406</v>
      </c>
      <c r="V19" s="448" t="s">
        <v>450</v>
      </c>
      <c r="W19" s="448" t="s">
        <v>552</v>
      </c>
      <c r="X19" s="449" t="s">
        <v>488</v>
      </c>
      <c r="Y19" s="449" t="s">
        <v>489</v>
      </c>
      <c r="Z19" s="450" t="s">
        <v>485</v>
      </c>
      <c r="AA19" s="448" t="s">
        <v>486</v>
      </c>
      <c r="AB19" s="448" t="s">
        <v>487</v>
      </c>
      <c r="AC19" s="450" t="s">
        <v>495</v>
      </c>
      <c r="AD19" s="450" t="s">
        <v>496</v>
      </c>
      <c r="AE19" s="448" t="s">
        <v>454</v>
      </c>
    </row>
    <row r="20" spans="2:31" s="62" customFormat="1" x14ac:dyDescent="0.35">
      <c r="B20" s="118"/>
      <c r="C20" s="451">
        <v>1</v>
      </c>
      <c r="D20" s="762" t="str">
        <f>IF(DEMANDE_Calendrier_Tournée!D22="","",DEMANDE_Calendrier_Tournée!D22)</f>
        <v/>
      </c>
      <c r="E20" s="763" t="str">
        <f>IF(DEMANDE_Calendrier_Tournée!E22="","",DEMANDE_Calendrier_Tournée!E22)</f>
        <v/>
      </c>
      <c r="F20" s="764" t="str">
        <f>IF(DEMANDE_Calendrier_Tournée!F22="","",DEMANDE_Calendrier_Tournée!F22)</f>
        <v/>
      </c>
      <c r="G20" s="763" t="str">
        <f>IF(DEMANDE_Calendrier_Tournée!G22="","",DEMANDE_Calendrier_Tournée!G22)</f>
        <v/>
      </c>
      <c r="H20" s="764" t="str">
        <f>IF(DEMANDE_Calendrier_Tournée!H22="","",DEMANDE_Calendrier_Tournée!H22)</f>
        <v/>
      </c>
      <c r="I20" s="763" t="str">
        <f>IF(DEMANDE_Calendrier_Tournée!I22="","",DEMANDE_Calendrier_Tournée!I22)</f>
        <v/>
      </c>
      <c r="J20" s="763" t="str">
        <f>IF(DEMANDE_Calendrier_Tournée!J22="","",DEMANDE_Calendrier_Tournée!J22)</f>
        <v/>
      </c>
      <c r="K20" s="765" t="str">
        <f>IF(DEMANDE_Calendrier_Tournée!K22="","",DEMANDE_Calendrier_Tournée!K22)</f>
        <v/>
      </c>
      <c r="L20" s="765"/>
      <c r="M20" s="766" t="str">
        <f>IF(DEMANDE_Calendrier_Tournée!L22="","",DEMANDE_Calendrier_Tournée!L22)</f>
        <v/>
      </c>
      <c r="N20" s="766" t="str">
        <f>IF(DEMANDE_Calendrier_Tournée!M22="","",DEMANDE_Calendrier_Tournée!M22)</f>
        <v/>
      </c>
      <c r="O20" s="119"/>
      <c r="P20" s="452"/>
      <c r="Q20" s="453"/>
      <c r="R20" s="263" t="str">
        <f>IF(D20="","",IF(C20=1,1,0))</f>
        <v/>
      </c>
      <c r="S20" s="263">
        <f t="shared" ref="S20:S69" si="0">IF(D20="",0,1)</f>
        <v>0</v>
      </c>
      <c r="T20" s="263">
        <f>IF(D21="",0,IF(D21-D20=1,0,IF(D21-D20&gt;1,1,IF(D21-D20&lt;1,0,1))))</f>
        <v>0</v>
      </c>
      <c r="U20" s="263">
        <f t="shared" ref="U20:U69" si="1">IF(AND(D20&lt;&gt;"",D21=""),1,0)</f>
        <v>0</v>
      </c>
      <c r="V20" s="263"/>
      <c r="W20" s="263">
        <f>IF(AND(DEMANDE_Calendrier_Tournée!D22&lt;&gt;"",RAPPORT_FINAL_Calendrier!D20=""),-1,0)</f>
        <v>0</v>
      </c>
      <c r="X20" s="423">
        <f>SUM(R20:V20)</f>
        <v>0</v>
      </c>
      <c r="Y20" s="423">
        <f>+X20</f>
        <v>0</v>
      </c>
      <c r="Z20" s="454">
        <f t="shared" ref="Z20:Z69" si="2">IF(H20="oui",80,IF(H20="non",140,0))</f>
        <v>0</v>
      </c>
      <c r="AA20" s="263">
        <f t="shared" ref="AA20:AA69" si="3">IF(AND(H20="oui",Y20&lt;=30),S20,0)</f>
        <v>0</v>
      </c>
      <c r="AB20" s="263">
        <f t="shared" ref="AB20:AB69" si="4">IF(AND(H20="non",Y20&lt;=30),SUM(R20,S20,T20,U20,V20),IF(AND(H20="oui",Y20&lt;=30),SUM(R20,T20,U20,V20),0))</f>
        <v>0</v>
      </c>
      <c r="AC20" s="454">
        <f t="shared" ref="AC20:AC69" si="5">IF(H20="oui",((140*R20)+(80*S20)+(140*T20)+(140*U20)),0)</f>
        <v>0</v>
      </c>
      <c r="AD20" s="454">
        <f t="shared" ref="AD20:AD69" si="6">IF(H20="non",((Z20*R20)+(Z20*S20)+(Z20*T20)+(Z20*U20)),0)</f>
        <v>0</v>
      </c>
      <c r="AE20" s="263">
        <f>IF(OR(D20="",E20=""),0,IF(D20=D19,0,1))</f>
        <v>0</v>
      </c>
    </row>
    <row r="21" spans="2:31" s="62" customFormat="1" x14ac:dyDescent="0.35">
      <c r="B21" s="118"/>
      <c r="C21" s="451">
        <v>2</v>
      </c>
      <c r="D21" s="762" t="str">
        <f>IF(DEMANDE_Calendrier_Tournée!D23="","",DEMANDE_Calendrier_Tournée!D23)</f>
        <v/>
      </c>
      <c r="E21" s="763" t="str">
        <f>IF(DEMANDE_Calendrier_Tournée!E23="","",DEMANDE_Calendrier_Tournée!E23)</f>
        <v/>
      </c>
      <c r="F21" s="764" t="str">
        <f>IF(DEMANDE_Calendrier_Tournée!F23="","",DEMANDE_Calendrier_Tournée!F23)</f>
        <v/>
      </c>
      <c r="G21" s="763" t="str">
        <f>IF(DEMANDE_Calendrier_Tournée!G23="","",DEMANDE_Calendrier_Tournée!G23)</f>
        <v/>
      </c>
      <c r="H21" s="764" t="str">
        <f>IF(DEMANDE_Calendrier_Tournée!H23="","",DEMANDE_Calendrier_Tournée!H23)</f>
        <v/>
      </c>
      <c r="I21" s="763" t="str">
        <f>IF(DEMANDE_Calendrier_Tournée!I23="","",DEMANDE_Calendrier_Tournée!I23)</f>
        <v/>
      </c>
      <c r="J21" s="763" t="str">
        <f>IF(DEMANDE_Calendrier_Tournée!J23="","",DEMANDE_Calendrier_Tournée!J23)</f>
        <v/>
      </c>
      <c r="K21" s="765" t="str">
        <f>IF(DEMANDE_Calendrier_Tournée!K23="","",DEMANDE_Calendrier_Tournée!K23)</f>
        <v/>
      </c>
      <c r="L21" s="765"/>
      <c r="M21" s="766" t="str">
        <f>IF(DEMANDE_Calendrier_Tournée!L23="","",DEMANDE_Calendrier_Tournée!L23)</f>
        <v/>
      </c>
      <c r="N21" s="766" t="str">
        <f>IF(DEMANDE_Calendrier_Tournée!M23="","",DEMANDE_Calendrier_Tournée!M23)</f>
        <v/>
      </c>
      <c r="O21" s="119"/>
      <c r="Q21" s="453"/>
      <c r="R21" s="263">
        <f t="shared" ref="R21:R69" si="7">IF(C21=1,1,0)</f>
        <v>0</v>
      </c>
      <c r="S21" s="263">
        <f t="shared" si="0"/>
        <v>0</v>
      </c>
      <c r="T21" s="263">
        <f t="shared" ref="T21:T69" si="8">IF(D22="",0,IF(D22-D21=1,0,IF(D22-D21&gt;1,1,IF(D22-D21&lt;1,0,1))))</f>
        <v>0</v>
      </c>
      <c r="U21" s="263">
        <f t="shared" si="1"/>
        <v>0</v>
      </c>
      <c r="V21" s="263">
        <f>IF(D21="",0,IF(D21=D20,-1,0))</f>
        <v>0</v>
      </c>
      <c r="W21" s="263">
        <f>IF(AND(DEMANDE_Calendrier_Tournée!D23&lt;&gt;"",RAPPORT_FINAL_Calendrier!D21=""),-1,0)</f>
        <v>0</v>
      </c>
      <c r="X21" s="423">
        <f t="shared" ref="X21:X69" si="9">SUM(R21:V21)</f>
        <v>0</v>
      </c>
      <c r="Y21" s="423">
        <f>SUM($X$20:X21)</f>
        <v>0</v>
      </c>
      <c r="Z21" s="454">
        <f t="shared" si="2"/>
        <v>0</v>
      </c>
      <c r="AA21" s="263">
        <f t="shared" si="3"/>
        <v>0</v>
      </c>
      <c r="AB21" s="263">
        <f t="shared" si="4"/>
        <v>0</v>
      </c>
      <c r="AC21" s="454">
        <f t="shared" si="5"/>
        <v>0</v>
      </c>
      <c r="AD21" s="454">
        <f t="shared" si="6"/>
        <v>0</v>
      </c>
      <c r="AE21" s="263">
        <f t="shared" ref="AE21:AE69" si="10">IF(OR(D21="",E21=""),0,IF(D21=D20,0,1))</f>
        <v>0</v>
      </c>
    </row>
    <row r="22" spans="2:31" s="62" customFormat="1" x14ac:dyDescent="0.35">
      <c r="B22" s="118"/>
      <c r="C22" s="451">
        <v>3</v>
      </c>
      <c r="D22" s="762" t="str">
        <f>IF(DEMANDE_Calendrier_Tournée!D24="","",DEMANDE_Calendrier_Tournée!D24)</f>
        <v/>
      </c>
      <c r="E22" s="763" t="str">
        <f>IF(DEMANDE_Calendrier_Tournée!E24="","",DEMANDE_Calendrier_Tournée!E24)</f>
        <v/>
      </c>
      <c r="F22" s="764" t="str">
        <f>IF(DEMANDE_Calendrier_Tournée!F24="","",DEMANDE_Calendrier_Tournée!F24)</f>
        <v/>
      </c>
      <c r="G22" s="763" t="str">
        <f>IF(DEMANDE_Calendrier_Tournée!G24="","",DEMANDE_Calendrier_Tournée!G24)</f>
        <v/>
      </c>
      <c r="H22" s="764" t="str">
        <f>IF(DEMANDE_Calendrier_Tournée!H24="","",DEMANDE_Calendrier_Tournée!H24)</f>
        <v/>
      </c>
      <c r="I22" s="763" t="str">
        <f>IF(DEMANDE_Calendrier_Tournée!I24="","",DEMANDE_Calendrier_Tournée!I24)</f>
        <v/>
      </c>
      <c r="J22" s="763" t="str">
        <f>IF(DEMANDE_Calendrier_Tournée!J24="","",DEMANDE_Calendrier_Tournée!J24)</f>
        <v/>
      </c>
      <c r="K22" s="765" t="str">
        <f>IF(DEMANDE_Calendrier_Tournée!K24="","",DEMANDE_Calendrier_Tournée!K24)</f>
        <v/>
      </c>
      <c r="L22" s="765"/>
      <c r="M22" s="766" t="str">
        <f>IF(DEMANDE_Calendrier_Tournée!L24="","",DEMANDE_Calendrier_Tournée!L24)</f>
        <v/>
      </c>
      <c r="N22" s="766" t="str">
        <f>IF(DEMANDE_Calendrier_Tournée!M24="","",DEMANDE_Calendrier_Tournée!M24)</f>
        <v/>
      </c>
      <c r="O22" s="119"/>
      <c r="Q22" s="453"/>
      <c r="R22" s="263">
        <f t="shared" si="7"/>
        <v>0</v>
      </c>
      <c r="S22" s="263">
        <f t="shared" si="0"/>
        <v>0</v>
      </c>
      <c r="T22" s="263">
        <f t="shared" si="8"/>
        <v>0</v>
      </c>
      <c r="U22" s="263">
        <f t="shared" si="1"/>
        <v>0</v>
      </c>
      <c r="V22" s="263">
        <f t="shared" ref="V22:V34" si="11">IF(D22="",0,IF(D22=D21,-1,0))</f>
        <v>0</v>
      </c>
      <c r="W22" s="263">
        <f>IF(AND(DEMANDE_Calendrier_Tournée!D24&lt;&gt;"",RAPPORT_FINAL_Calendrier!D22=""),-1,0)</f>
        <v>0</v>
      </c>
      <c r="X22" s="423">
        <f t="shared" si="9"/>
        <v>0</v>
      </c>
      <c r="Y22" s="423">
        <f>SUM($X$20:X22)</f>
        <v>0</v>
      </c>
      <c r="Z22" s="454">
        <f t="shared" si="2"/>
        <v>0</v>
      </c>
      <c r="AA22" s="263">
        <f t="shared" si="3"/>
        <v>0</v>
      </c>
      <c r="AB22" s="263">
        <f t="shared" si="4"/>
        <v>0</v>
      </c>
      <c r="AC22" s="454">
        <f t="shared" si="5"/>
        <v>0</v>
      </c>
      <c r="AD22" s="454">
        <f t="shared" si="6"/>
        <v>0</v>
      </c>
      <c r="AE22" s="263">
        <f t="shared" si="10"/>
        <v>0</v>
      </c>
    </row>
    <row r="23" spans="2:31" s="62" customFormat="1" x14ac:dyDescent="0.35">
      <c r="B23" s="118"/>
      <c r="C23" s="451">
        <v>4</v>
      </c>
      <c r="D23" s="762" t="str">
        <f>IF(DEMANDE_Calendrier_Tournée!D25="","",DEMANDE_Calendrier_Tournée!D25)</f>
        <v/>
      </c>
      <c r="E23" s="763" t="str">
        <f>IF(DEMANDE_Calendrier_Tournée!E25="","",DEMANDE_Calendrier_Tournée!E25)</f>
        <v/>
      </c>
      <c r="F23" s="764" t="str">
        <f>IF(DEMANDE_Calendrier_Tournée!F25="","",DEMANDE_Calendrier_Tournée!F25)</f>
        <v/>
      </c>
      <c r="G23" s="763" t="str">
        <f>IF(DEMANDE_Calendrier_Tournée!G25="","",DEMANDE_Calendrier_Tournée!G25)</f>
        <v/>
      </c>
      <c r="H23" s="764" t="str">
        <f>IF(DEMANDE_Calendrier_Tournée!H25="","",DEMANDE_Calendrier_Tournée!H25)</f>
        <v/>
      </c>
      <c r="I23" s="763" t="str">
        <f>IF(DEMANDE_Calendrier_Tournée!I25="","",DEMANDE_Calendrier_Tournée!I25)</f>
        <v/>
      </c>
      <c r="J23" s="763" t="str">
        <f>IF(DEMANDE_Calendrier_Tournée!J25="","",DEMANDE_Calendrier_Tournée!J25)</f>
        <v/>
      </c>
      <c r="K23" s="765" t="str">
        <f>IF(DEMANDE_Calendrier_Tournée!K25="","",DEMANDE_Calendrier_Tournée!K25)</f>
        <v/>
      </c>
      <c r="L23" s="765"/>
      <c r="M23" s="766" t="str">
        <f>IF(DEMANDE_Calendrier_Tournée!L25="","",DEMANDE_Calendrier_Tournée!L25)</f>
        <v/>
      </c>
      <c r="N23" s="766" t="str">
        <f>IF(DEMANDE_Calendrier_Tournée!M25="","",DEMANDE_Calendrier_Tournée!M25)</f>
        <v/>
      </c>
      <c r="O23" s="119"/>
      <c r="Q23" s="453"/>
      <c r="R23" s="263">
        <f t="shared" si="7"/>
        <v>0</v>
      </c>
      <c r="S23" s="263">
        <f t="shared" si="0"/>
        <v>0</v>
      </c>
      <c r="T23" s="263">
        <f t="shared" si="8"/>
        <v>0</v>
      </c>
      <c r="U23" s="263">
        <f t="shared" si="1"/>
        <v>0</v>
      </c>
      <c r="V23" s="263">
        <f t="shared" si="11"/>
        <v>0</v>
      </c>
      <c r="W23" s="263">
        <f>IF(AND(DEMANDE_Calendrier_Tournée!D25&lt;&gt;"",RAPPORT_FINAL_Calendrier!D23=""),-1,0)</f>
        <v>0</v>
      </c>
      <c r="X23" s="423">
        <f t="shared" si="9"/>
        <v>0</v>
      </c>
      <c r="Y23" s="423">
        <f>SUM($X$20:X23)</f>
        <v>0</v>
      </c>
      <c r="Z23" s="454">
        <f t="shared" si="2"/>
        <v>0</v>
      </c>
      <c r="AA23" s="263">
        <f t="shared" si="3"/>
        <v>0</v>
      </c>
      <c r="AB23" s="263">
        <f t="shared" si="4"/>
        <v>0</v>
      </c>
      <c r="AC23" s="454">
        <f t="shared" si="5"/>
        <v>0</v>
      </c>
      <c r="AD23" s="454">
        <f t="shared" si="6"/>
        <v>0</v>
      </c>
      <c r="AE23" s="263">
        <f t="shared" si="10"/>
        <v>0</v>
      </c>
    </row>
    <row r="24" spans="2:31" s="62" customFormat="1" x14ac:dyDescent="0.35">
      <c r="B24" s="118"/>
      <c r="C24" s="451">
        <v>5</v>
      </c>
      <c r="D24" s="762" t="str">
        <f>IF(DEMANDE_Calendrier_Tournée!D26="","",DEMANDE_Calendrier_Tournée!D26)</f>
        <v/>
      </c>
      <c r="E24" s="763" t="str">
        <f>IF(DEMANDE_Calendrier_Tournée!E26="","",DEMANDE_Calendrier_Tournée!E26)</f>
        <v/>
      </c>
      <c r="F24" s="764" t="str">
        <f>IF(DEMANDE_Calendrier_Tournée!F26="","",DEMANDE_Calendrier_Tournée!F26)</f>
        <v/>
      </c>
      <c r="G24" s="763" t="str">
        <f>IF(DEMANDE_Calendrier_Tournée!G26="","",DEMANDE_Calendrier_Tournée!G26)</f>
        <v/>
      </c>
      <c r="H24" s="764" t="str">
        <f>IF(DEMANDE_Calendrier_Tournée!H26="","",DEMANDE_Calendrier_Tournée!H26)</f>
        <v/>
      </c>
      <c r="I24" s="763" t="str">
        <f>IF(DEMANDE_Calendrier_Tournée!I26="","",DEMANDE_Calendrier_Tournée!I26)</f>
        <v/>
      </c>
      <c r="J24" s="763" t="str">
        <f>IF(DEMANDE_Calendrier_Tournée!J26="","",DEMANDE_Calendrier_Tournée!J26)</f>
        <v/>
      </c>
      <c r="K24" s="765" t="str">
        <f>IF(DEMANDE_Calendrier_Tournée!K26="","",DEMANDE_Calendrier_Tournée!K26)</f>
        <v/>
      </c>
      <c r="L24" s="765"/>
      <c r="M24" s="766" t="str">
        <f>IF(DEMANDE_Calendrier_Tournée!L26="","",DEMANDE_Calendrier_Tournée!L26)</f>
        <v/>
      </c>
      <c r="N24" s="766" t="str">
        <f>IF(DEMANDE_Calendrier_Tournée!M26="","",DEMANDE_Calendrier_Tournée!M26)</f>
        <v/>
      </c>
      <c r="O24" s="119"/>
      <c r="Q24" s="453"/>
      <c r="R24" s="263">
        <f t="shared" si="7"/>
        <v>0</v>
      </c>
      <c r="S24" s="263">
        <f t="shared" si="0"/>
        <v>0</v>
      </c>
      <c r="T24" s="263">
        <f t="shared" si="8"/>
        <v>0</v>
      </c>
      <c r="U24" s="263">
        <f t="shared" si="1"/>
        <v>0</v>
      </c>
      <c r="V24" s="263">
        <f t="shared" si="11"/>
        <v>0</v>
      </c>
      <c r="W24" s="263">
        <f>IF(AND(DEMANDE_Calendrier_Tournée!D26&lt;&gt;"",RAPPORT_FINAL_Calendrier!D24=""),-1,0)</f>
        <v>0</v>
      </c>
      <c r="X24" s="423">
        <f t="shared" si="9"/>
        <v>0</v>
      </c>
      <c r="Y24" s="423">
        <f>SUM($X$20:X24)</f>
        <v>0</v>
      </c>
      <c r="Z24" s="454">
        <f t="shared" si="2"/>
        <v>0</v>
      </c>
      <c r="AA24" s="263">
        <f t="shared" si="3"/>
        <v>0</v>
      </c>
      <c r="AB24" s="263">
        <f t="shared" si="4"/>
        <v>0</v>
      </c>
      <c r="AC24" s="454">
        <f t="shared" si="5"/>
        <v>0</v>
      </c>
      <c r="AD24" s="454">
        <f t="shared" si="6"/>
        <v>0</v>
      </c>
      <c r="AE24" s="263">
        <f t="shared" si="10"/>
        <v>0</v>
      </c>
    </row>
    <row r="25" spans="2:31" s="62" customFormat="1" x14ac:dyDescent="0.35">
      <c r="B25" s="118"/>
      <c r="C25" s="451">
        <v>6</v>
      </c>
      <c r="D25" s="762" t="str">
        <f>IF(DEMANDE_Calendrier_Tournée!D27="","",DEMANDE_Calendrier_Tournée!D27)</f>
        <v/>
      </c>
      <c r="E25" s="763" t="str">
        <f>IF(DEMANDE_Calendrier_Tournée!E27="","",DEMANDE_Calendrier_Tournée!E27)</f>
        <v/>
      </c>
      <c r="F25" s="764" t="str">
        <f>IF(DEMANDE_Calendrier_Tournée!F27="","",DEMANDE_Calendrier_Tournée!F27)</f>
        <v/>
      </c>
      <c r="G25" s="763" t="str">
        <f>IF(DEMANDE_Calendrier_Tournée!G27="","",DEMANDE_Calendrier_Tournée!G27)</f>
        <v/>
      </c>
      <c r="H25" s="764" t="str">
        <f>IF(DEMANDE_Calendrier_Tournée!H27="","",DEMANDE_Calendrier_Tournée!H27)</f>
        <v/>
      </c>
      <c r="I25" s="763" t="str">
        <f>IF(DEMANDE_Calendrier_Tournée!I27="","",DEMANDE_Calendrier_Tournée!I27)</f>
        <v/>
      </c>
      <c r="J25" s="763" t="str">
        <f>IF(DEMANDE_Calendrier_Tournée!J27="","",DEMANDE_Calendrier_Tournée!J27)</f>
        <v/>
      </c>
      <c r="K25" s="765" t="str">
        <f>IF(DEMANDE_Calendrier_Tournée!K27="","",DEMANDE_Calendrier_Tournée!K27)</f>
        <v/>
      </c>
      <c r="L25" s="765"/>
      <c r="M25" s="766" t="str">
        <f>IF(DEMANDE_Calendrier_Tournée!L27="","",DEMANDE_Calendrier_Tournée!L27)</f>
        <v/>
      </c>
      <c r="N25" s="766" t="str">
        <f>IF(DEMANDE_Calendrier_Tournée!M27="","",DEMANDE_Calendrier_Tournée!M27)</f>
        <v/>
      </c>
      <c r="O25" s="119"/>
      <c r="Q25" s="453"/>
      <c r="R25" s="263">
        <f t="shared" si="7"/>
        <v>0</v>
      </c>
      <c r="S25" s="263">
        <f t="shared" si="0"/>
        <v>0</v>
      </c>
      <c r="T25" s="263">
        <f t="shared" si="8"/>
        <v>0</v>
      </c>
      <c r="U25" s="263">
        <f t="shared" si="1"/>
        <v>0</v>
      </c>
      <c r="V25" s="263">
        <f t="shared" si="11"/>
        <v>0</v>
      </c>
      <c r="W25" s="263">
        <f>IF(AND(DEMANDE_Calendrier_Tournée!D27&lt;&gt;"",RAPPORT_FINAL_Calendrier!D25=""),-1,0)</f>
        <v>0</v>
      </c>
      <c r="X25" s="423">
        <f t="shared" si="9"/>
        <v>0</v>
      </c>
      <c r="Y25" s="423">
        <f>SUM($X$20:X25)</f>
        <v>0</v>
      </c>
      <c r="Z25" s="454">
        <f t="shared" si="2"/>
        <v>0</v>
      </c>
      <c r="AA25" s="263">
        <f t="shared" si="3"/>
        <v>0</v>
      </c>
      <c r="AB25" s="263">
        <f t="shared" si="4"/>
        <v>0</v>
      </c>
      <c r="AC25" s="454">
        <f t="shared" si="5"/>
        <v>0</v>
      </c>
      <c r="AD25" s="454">
        <f t="shared" si="6"/>
        <v>0</v>
      </c>
      <c r="AE25" s="263">
        <f t="shared" si="10"/>
        <v>0</v>
      </c>
    </row>
    <row r="26" spans="2:31" s="62" customFormat="1" x14ac:dyDescent="0.35">
      <c r="B26" s="118"/>
      <c r="C26" s="451">
        <v>7</v>
      </c>
      <c r="D26" s="762" t="str">
        <f>IF(DEMANDE_Calendrier_Tournée!D28="","",DEMANDE_Calendrier_Tournée!D28)</f>
        <v/>
      </c>
      <c r="E26" s="763" t="str">
        <f>IF(DEMANDE_Calendrier_Tournée!E28="","",DEMANDE_Calendrier_Tournée!E28)</f>
        <v/>
      </c>
      <c r="F26" s="764" t="str">
        <f>IF(DEMANDE_Calendrier_Tournée!F28="","",DEMANDE_Calendrier_Tournée!F28)</f>
        <v/>
      </c>
      <c r="G26" s="763" t="str">
        <f>IF(DEMANDE_Calendrier_Tournée!G28="","",DEMANDE_Calendrier_Tournée!G28)</f>
        <v/>
      </c>
      <c r="H26" s="764" t="str">
        <f>IF(DEMANDE_Calendrier_Tournée!H28="","",DEMANDE_Calendrier_Tournée!H28)</f>
        <v/>
      </c>
      <c r="I26" s="763" t="str">
        <f>IF(DEMANDE_Calendrier_Tournée!I28="","",DEMANDE_Calendrier_Tournée!I28)</f>
        <v/>
      </c>
      <c r="J26" s="763" t="str">
        <f>IF(DEMANDE_Calendrier_Tournée!J28="","",DEMANDE_Calendrier_Tournée!J28)</f>
        <v/>
      </c>
      <c r="K26" s="765" t="str">
        <f>IF(DEMANDE_Calendrier_Tournée!K28="","",DEMANDE_Calendrier_Tournée!K28)</f>
        <v/>
      </c>
      <c r="L26" s="765"/>
      <c r="M26" s="766" t="str">
        <f>IF(DEMANDE_Calendrier_Tournée!L28="","",DEMANDE_Calendrier_Tournée!L28)</f>
        <v/>
      </c>
      <c r="N26" s="766" t="str">
        <f>IF(DEMANDE_Calendrier_Tournée!M28="","",DEMANDE_Calendrier_Tournée!M28)</f>
        <v/>
      </c>
      <c r="O26" s="119"/>
      <c r="Q26" s="453"/>
      <c r="R26" s="263">
        <f t="shared" si="7"/>
        <v>0</v>
      </c>
      <c r="S26" s="263">
        <f t="shared" si="0"/>
        <v>0</v>
      </c>
      <c r="T26" s="263">
        <f t="shared" si="8"/>
        <v>0</v>
      </c>
      <c r="U26" s="263">
        <f t="shared" si="1"/>
        <v>0</v>
      </c>
      <c r="V26" s="263">
        <f t="shared" si="11"/>
        <v>0</v>
      </c>
      <c r="W26" s="263">
        <f>IF(AND(DEMANDE_Calendrier_Tournée!D28&lt;&gt;"",RAPPORT_FINAL_Calendrier!D26=""),-1,0)</f>
        <v>0</v>
      </c>
      <c r="X26" s="423">
        <f t="shared" si="9"/>
        <v>0</v>
      </c>
      <c r="Y26" s="423">
        <f>SUM($X$20:X26)</f>
        <v>0</v>
      </c>
      <c r="Z26" s="454">
        <f t="shared" si="2"/>
        <v>0</v>
      </c>
      <c r="AA26" s="263">
        <f t="shared" si="3"/>
        <v>0</v>
      </c>
      <c r="AB26" s="263">
        <f t="shared" si="4"/>
        <v>0</v>
      </c>
      <c r="AC26" s="454">
        <f t="shared" si="5"/>
        <v>0</v>
      </c>
      <c r="AD26" s="454">
        <f t="shared" si="6"/>
        <v>0</v>
      </c>
      <c r="AE26" s="263">
        <f t="shared" si="10"/>
        <v>0</v>
      </c>
    </row>
    <row r="27" spans="2:31" s="62" customFormat="1" x14ac:dyDescent="0.35">
      <c r="B27" s="118"/>
      <c r="C27" s="451">
        <v>8</v>
      </c>
      <c r="D27" s="762" t="str">
        <f>IF(DEMANDE_Calendrier_Tournée!D29="","",DEMANDE_Calendrier_Tournée!D29)</f>
        <v/>
      </c>
      <c r="E27" s="763" t="str">
        <f>IF(DEMANDE_Calendrier_Tournée!E29="","",DEMANDE_Calendrier_Tournée!E29)</f>
        <v/>
      </c>
      <c r="F27" s="764" t="str">
        <f>IF(DEMANDE_Calendrier_Tournée!F29="","",DEMANDE_Calendrier_Tournée!F29)</f>
        <v/>
      </c>
      <c r="G27" s="763" t="str">
        <f>IF(DEMANDE_Calendrier_Tournée!G29="","",DEMANDE_Calendrier_Tournée!G29)</f>
        <v/>
      </c>
      <c r="H27" s="764" t="str">
        <f>IF(DEMANDE_Calendrier_Tournée!H29="","",DEMANDE_Calendrier_Tournée!H29)</f>
        <v/>
      </c>
      <c r="I27" s="763" t="str">
        <f>IF(DEMANDE_Calendrier_Tournée!I29="","",DEMANDE_Calendrier_Tournée!I29)</f>
        <v/>
      </c>
      <c r="J27" s="763" t="str">
        <f>IF(DEMANDE_Calendrier_Tournée!J29="","",DEMANDE_Calendrier_Tournée!J29)</f>
        <v/>
      </c>
      <c r="K27" s="765" t="str">
        <f>IF(DEMANDE_Calendrier_Tournée!K29="","",DEMANDE_Calendrier_Tournée!K29)</f>
        <v/>
      </c>
      <c r="L27" s="765"/>
      <c r="M27" s="766" t="str">
        <f>IF(DEMANDE_Calendrier_Tournée!L29="","",DEMANDE_Calendrier_Tournée!L29)</f>
        <v/>
      </c>
      <c r="N27" s="766" t="str">
        <f>IF(DEMANDE_Calendrier_Tournée!M29="","",DEMANDE_Calendrier_Tournée!M29)</f>
        <v/>
      </c>
      <c r="O27" s="119"/>
      <c r="Q27" s="453"/>
      <c r="R27" s="263">
        <f t="shared" si="7"/>
        <v>0</v>
      </c>
      <c r="S27" s="263">
        <f t="shared" si="0"/>
        <v>0</v>
      </c>
      <c r="T27" s="263">
        <f t="shared" si="8"/>
        <v>0</v>
      </c>
      <c r="U27" s="263">
        <f t="shared" si="1"/>
        <v>0</v>
      </c>
      <c r="V27" s="263">
        <f t="shared" si="11"/>
        <v>0</v>
      </c>
      <c r="W27" s="263">
        <f>IF(AND(DEMANDE_Calendrier_Tournée!D29&lt;&gt;"",RAPPORT_FINAL_Calendrier!D27=""),-1,0)</f>
        <v>0</v>
      </c>
      <c r="X27" s="423">
        <f t="shared" si="9"/>
        <v>0</v>
      </c>
      <c r="Y27" s="423">
        <f>SUM($X$20:X27)</f>
        <v>0</v>
      </c>
      <c r="Z27" s="454">
        <f t="shared" si="2"/>
        <v>0</v>
      </c>
      <c r="AA27" s="263">
        <f t="shared" si="3"/>
        <v>0</v>
      </c>
      <c r="AB27" s="263">
        <f t="shared" si="4"/>
        <v>0</v>
      </c>
      <c r="AC27" s="454">
        <f t="shared" si="5"/>
        <v>0</v>
      </c>
      <c r="AD27" s="454">
        <f t="shared" si="6"/>
        <v>0</v>
      </c>
      <c r="AE27" s="263">
        <f t="shared" si="10"/>
        <v>0</v>
      </c>
    </row>
    <row r="28" spans="2:31" s="62" customFormat="1" x14ac:dyDescent="0.35">
      <c r="B28" s="118"/>
      <c r="C28" s="451">
        <v>9</v>
      </c>
      <c r="D28" s="762" t="str">
        <f>IF(DEMANDE_Calendrier_Tournée!D30="","",DEMANDE_Calendrier_Tournée!D30)</f>
        <v/>
      </c>
      <c r="E28" s="763" t="str">
        <f>IF(DEMANDE_Calendrier_Tournée!E30="","",DEMANDE_Calendrier_Tournée!E30)</f>
        <v/>
      </c>
      <c r="F28" s="764" t="str">
        <f>IF(DEMANDE_Calendrier_Tournée!F30="","",DEMANDE_Calendrier_Tournée!F30)</f>
        <v/>
      </c>
      <c r="G28" s="763" t="str">
        <f>IF(DEMANDE_Calendrier_Tournée!G30="","",DEMANDE_Calendrier_Tournée!G30)</f>
        <v/>
      </c>
      <c r="H28" s="764" t="str">
        <f>IF(DEMANDE_Calendrier_Tournée!H30="","",DEMANDE_Calendrier_Tournée!H30)</f>
        <v/>
      </c>
      <c r="I28" s="763" t="str">
        <f>IF(DEMANDE_Calendrier_Tournée!I30="","",DEMANDE_Calendrier_Tournée!I30)</f>
        <v/>
      </c>
      <c r="J28" s="763" t="str">
        <f>IF(DEMANDE_Calendrier_Tournée!J30="","",DEMANDE_Calendrier_Tournée!J30)</f>
        <v/>
      </c>
      <c r="K28" s="765" t="str">
        <f>IF(DEMANDE_Calendrier_Tournée!K30="","",DEMANDE_Calendrier_Tournée!K30)</f>
        <v/>
      </c>
      <c r="L28" s="765"/>
      <c r="M28" s="766" t="str">
        <f>IF(DEMANDE_Calendrier_Tournée!L30="","",DEMANDE_Calendrier_Tournée!L30)</f>
        <v/>
      </c>
      <c r="N28" s="766" t="str">
        <f>IF(DEMANDE_Calendrier_Tournée!M30="","",DEMANDE_Calendrier_Tournée!M30)</f>
        <v/>
      </c>
      <c r="O28" s="119"/>
      <c r="Q28" s="453"/>
      <c r="R28" s="263">
        <f t="shared" si="7"/>
        <v>0</v>
      </c>
      <c r="S28" s="263">
        <f t="shared" si="0"/>
        <v>0</v>
      </c>
      <c r="T28" s="263">
        <f t="shared" si="8"/>
        <v>0</v>
      </c>
      <c r="U28" s="263">
        <f t="shared" si="1"/>
        <v>0</v>
      </c>
      <c r="V28" s="263">
        <f t="shared" si="11"/>
        <v>0</v>
      </c>
      <c r="W28" s="263">
        <f>IF(AND(DEMANDE_Calendrier_Tournée!D30&lt;&gt;"",RAPPORT_FINAL_Calendrier!D28=""),-1,0)</f>
        <v>0</v>
      </c>
      <c r="X28" s="423">
        <f t="shared" si="9"/>
        <v>0</v>
      </c>
      <c r="Y28" s="423">
        <f>SUM($X$20:X28)</f>
        <v>0</v>
      </c>
      <c r="Z28" s="454">
        <f t="shared" si="2"/>
        <v>0</v>
      </c>
      <c r="AA28" s="263">
        <f t="shared" si="3"/>
        <v>0</v>
      </c>
      <c r="AB28" s="263">
        <f t="shared" si="4"/>
        <v>0</v>
      </c>
      <c r="AC28" s="454">
        <f t="shared" si="5"/>
        <v>0</v>
      </c>
      <c r="AD28" s="454">
        <f t="shared" si="6"/>
        <v>0</v>
      </c>
      <c r="AE28" s="263">
        <f t="shared" si="10"/>
        <v>0</v>
      </c>
    </row>
    <row r="29" spans="2:31" s="62" customFormat="1" x14ac:dyDescent="0.35">
      <c r="B29" s="118"/>
      <c r="C29" s="451">
        <v>10</v>
      </c>
      <c r="D29" s="762" t="str">
        <f>IF(DEMANDE_Calendrier_Tournée!D31="","",DEMANDE_Calendrier_Tournée!D31)</f>
        <v/>
      </c>
      <c r="E29" s="763" t="str">
        <f>IF(DEMANDE_Calendrier_Tournée!E31="","",DEMANDE_Calendrier_Tournée!E31)</f>
        <v/>
      </c>
      <c r="F29" s="764" t="str">
        <f>IF(DEMANDE_Calendrier_Tournée!F31="","",DEMANDE_Calendrier_Tournée!F31)</f>
        <v/>
      </c>
      <c r="G29" s="763" t="str">
        <f>IF(DEMANDE_Calendrier_Tournée!G31="","",DEMANDE_Calendrier_Tournée!G31)</f>
        <v/>
      </c>
      <c r="H29" s="764" t="str">
        <f>IF(DEMANDE_Calendrier_Tournée!H31="","",DEMANDE_Calendrier_Tournée!H31)</f>
        <v/>
      </c>
      <c r="I29" s="763" t="str">
        <f>IF(DEMANDE_Calendrier_Tournée!I31="","",DEMANDE_Calendrier_Tournée!I31)</f>
        <v/>
      </c>
      <c r="J29" s="763" t="str">
        <f>IF(DEMANDE_Calendrier_Tournée!J31="","",DEMANDE_Calendrier_Tournée!J31)</f>
        <v/>
      </c>
      <c r="K29" s="765" t="str">
        <f>IF(DEMANDE_Calendrier_Tournée!K31="","",DEMANDE_Calendrier_Tournée!K31)</f>
        <v/>
      </c>
      <c r="L29" s="765"/>
      <c r="M29" s="766" t="str">
        <f>IF(DEMANDE_Calendrier_Tournée!L31="","",DEMANDE_Calendrier_Tournée!L31)</f>
        <v/>
      </c>
      <c r="N29" s="766" t="str">
        <f>IF(DEMANDE_Calendrier_Tournée!M31="","",DEMANDE_Calendrier_Tournée!M31)</f>
        <v/>
      </c>
      <c r="O29" s="119"/>
      <c r="Q29" s="453"/>
      <c r="R29" s="263">
        <f t="shared" si="7"/>
        <v>0</v>
      </c>
      <c r="S29" s="263">
        <f t="shared" si="0"/>
        <v>0</v>
      </c>
      <c r="T29" s="263">
        <f t="shared" si="8"/>
        <v>0</v>
      </c>
      <c r="U29" s="263">
        <f t="shared" si="1"/>
        <v>0</v>
      </c>
      <c r="V29" s="263">
        <f t="shared" si="11"/>
        <v>0</v>
      </c>
      <c r="W29" s="263">
        <f>IF(AND(DEMANDE_Calendrier_Tournée!D31&lt;&gt;"",RAPPORT_FINAL_Calendrier!D29=""),-1,0)</f>
        <v>0</v>
      </c>
      <c r="X29" s="423">
        <f t="shared" si="9"/>
        <v>0</v>
      </c>
      <c r="Y29" s="423">
        <f>SUM($X$20:X29)</f>
        <v>0</v>
      </c>
      <c r="Z29" s="454">
        <f t="shared" si="2"/>
        <v>0</v>
      </c>
      <c r="AA29" s="263">
        <f t="shared" si="3"/>
        <v>0</v>
      </c>
      <c r="AB29" s="263">
        <f t="shared" si="4"/>
        <v>0</v>
      </c>
      <c r="AC29" s="454">
        <f t="shared" si="5"/>
        <v>0</v>
      </c>
      <c r="AD29" s="454">
        <f t="shared" si="6"/>
        <v>0</v>
      </c>
      <c r="AE29" s="263">
        <f t="shared" si="10"/>
        <v>0</v>
      </c>
    </row>
    <row r="30" spans="2:31" s="62" customFormat="1" x14ac:dyDescent="0.35">
      <c r="B30" s="118"/>
      <c r="C30" s="451">
        <v>11</v>
      </c>
      <c r="D30" s="762" t="str">
        <f>IF(DEMANDE_Calendrier_Tournée!D32="","",DEMANDE_Calendrier_Tournée!D32)</f>
        <v/>
      </c>
      <c r="E30" s="763" t="str">
        <f>IF(DEMANDE_Calendrier_Tournée!E32="","",DEMANDE_Calendrier_Tournée!E32)</f>
        <v/>
      </c>
      <c r="F30" s="764" t="str">
        <f>IF(DEMANDE_Calendrier_Tournée!F32="","",DEMANDE_Calendrier_Tournée!F32)</f>
        <v/>
      </c>
      <c r="G30" s="763" t="str">
        <f>IF(DEMANDE_Calendrier_Tournée!G32="","",DEMANDE_Calendrier_Tournée!G32)</f>
        <v/>
      </c>
      <c r="H30" s="764" t="str">
        <f>IF(DEMANDE_Calendrier_Tournée!H32="","",DEMANDE_Calendrier_Tournée!H32)</f>
        <v/>
      </c>
      <c r="I30" s="763" t="str">
        <f>IF(DEMANDE_Calendrier_Tournée!I32="","",DEMANDE_Calendrier_Tournée!I32)</f>
        <v/>
      </c>
      <c r="J30" s="763" t="str">
        <f>IF(DEMANDE_Calendrier_Tournée!J32="","",DEMANDE_Calendrier_Tournée!J32)</f>
        <v/>
      </c>
      <c r="K30" s="765" t="str">
        <f>IF(DEMANDE_Calendrier_Tournée!K32="","",DEMANDE_Calendrier_Tournée!K32)</f>
        <v/>
      </c>
      <c r="L30" s="765"/>
      <c r="M30" s="766" t="str">
        <f>IF(DEMANDE_Calendrier_Tournée!L32="","",DEMANDE_Calendrier_Tournée!L32)</f>
        <v/>
      </c>
      <c r="N30" s="766" t="str">
        <f>IF(DEMANDE_Calendrier_Tournée!M32="","",DEMANDE_Calendrier_Tournée!M32)</f>
        <v/>
      </c>
      <c r="O30" s="119"/>
      <c r="Q30" s="453"/>
      <c r="R30" s="263">
        <f t="shared" si="7"/>
        <v>0</v>
      </c>
      <c r="S30" s="263">
        <f t="shared" si="0"/>
        <v>0</v>
      </c>
      <c r="T30" s="263">
        <f t="shared" si="8"/>
        <v>0</v>
      </c>
      <c r="U30" s="263">
        <f t="shared" si="1"/>
        <v>0</v>
      </c>
      <c r="V30" s="263">
        <f t="shared" si="11"/>
        <v>0</v>
      </c>
      <c r="W30" s="263">
        <f>IF(AND(DEMANDE_Calendrier_Tournée!D32&lt;&gt;"",RAPPORT_FINAL_Calendrier!D30=""),-1,0)</f>
        <v>0</v>
      </c>
      <c r="X30" s="423">
        <f t="shared" si="9"/>
        <v>0</v>
      </c>
      <c r="Y30" s="423">
        <f>SUM($X$20:X30)</f>
        <v>0</v>
      </c>
      <c r="Z30" s="454">
        <f t="shared" si="2"/>
        <v>0</v>
      </c>
      <c r="AA30" s="263">
        <f t="shared" si="3"/>
        <v>0</v>
      </c>
      <c r="AB30" s="263">
        <f t="shared" si="4"/>
        <v>0</v>
      </c>
      <c r="AC30" s="454">
        <f t="shared" si="5"/>
        <v>0</v>
      </c>
      <c r="AD30" s="454">
        <f t="shared" si="6"/>
        <v>0</v>
      </c>
      <c r="AE30" s="263">
        <f t="shared" si="10"/>
        <v>0</v>
      </c>
    </row>
    <row r="31" spans="2:31" s="62" customFormat="1" x14ac:dyDescent="0.35">
      <c r="B31" s="118"/>
      <c r="C31" s="451">
        <v>12</v>
      </c>
      <c r="D31" s="762" t="str">
        <f>IF(DEMANDE_Calendrier_Tournée!D33="","",DEMANDE_Calendrier_Tournée!D33)</f>
        <v/>
      </c>
      <c r="E31" s="763" t="str">
        <f>IF(DEMANDE_Calendrier_Tournée!E33="","",DEMANDE_Calendrier_Tournée!E33)</f>
        <v/>
      </c>
      <c r="F31" s="764" t="str">
        <f>IF(DEMANDE_Calendrier_Tournée!F33="","",DEMANDE_Calendrier_Tournée!F33)</f>
        <v/>
      </c>
      <c r="G31" s="763" t="str">
        <f>IF(DEMANDE_Calendrier_Tournée!G33="","",DEMANDE_Calendrier_Tournée!G33)</f>
        <v/>
      </c>
      <c r="H31" s="764" t="str">
        <f>IF(DEMANDE_Calendrier_Tournée!H33="","",DEMANDE_Calendrier_Tournée!H33)</f>
        <v/>
      </c>
      <c r="I31" s="763" t="str">
        <f>IF(DEMANDE_Calendrier_Tournée!I33="","",DEMANDE_Calendrier_Tournée!I33)</f>
        <v/>
      </c>
      <c r="J31" s="763" t="str">
        <f>IF(DEMANDE_Calendrier_Tournée!J33="","",DEMANDE_Calendrier_Tournée!J33)</f>
        <v/>
      </c>
      <c r="K31" s="765" t="str">
        <f>IF(DEMANDE_Calendrier_Tournée!K33="","",DEMANDE_Calendrier_Tournée!K33)</f>
        <v/>
      </c>
      <c r="L31" s="765"/>
      <c r="M31" s="766" t="str">
        <f>IF(DEMANDE_Calendrier_Tournée!L33="","",DEMANDE_Calendrier_Tournée!L33)</f>
        <v/>
      </c>
      <c r="N31" s="766" t="str">
        <f>IF(DEMANDE_Calendrier_Tournée!M33="","",DEMANDE_Calendrier_Tournée!M33)</f>
        <v/>
      </c>
      <c r="O31" s="119"/>
      <c r="Q31" s="453"/>
      <c r="R31" s="263">
        <f t="shared" si="7"/>
        <v>0</v>
      </c>
      <c r="S31" s="263">
        <f t="shared" si="0"/>
        <v>0</v>
      </c>
      <c r="T31" s="263">
        <f t="shared" si="8"/>
        <v>0</v>
      </c>
      <c r="U31" s="263">
        <f t="shared" si="1"/>
        <v>0</v>
      </c>
      <c r="V31" s="263">
        <f t="shared" si="11"/>
        <v>0</v>
      </c>
      <c r="W31" s="263">
        <f>IF(AND(DEMANDE_Calendrier_Tournée!D33&lt;&gt;"",RAPPORT_FINAL_Calendrier!D31=""),-1,0)</f>
        <v>0</v>
      </c>
      <c r="X31" s="423">
        <f t="shared" si="9"/>
        <v>0</v>
      </c>
      <c r="Y31" s="423">
        <f>SUM($X$20:X31)</f>
        <v>0</v>
      </c>
      <c r="Z31" s="454">
        <f t="shared" si="2"/>
        <v>0</v>
      </c>
      <c r="AA31" s="263">
        <f t="shared" si="3"/>
        <v>0</v>
      </c>
      <c r="AB31" s="263">
        <f t="shared" si="4"/>
        <v>0</v>
      </c>
      <c r="AC31" s="454">
        <f t="shared" si="5"/>
        <v>0</v>
      </c>
      <c r="AD31" s="454">
        <f t="shared" si="6"/>
        <v>0</v>
      </c>
      <c r="AE31" s="263">
        <f t="shared" si="10"/>
        <v>0</v>
      </c>
    </row>
    <row r="32" spans="2:31" s="62" customFormat="1" x14ac:dyDescent="0.35">
      <c r="B32" s="118"/>
      <c r="C32" s="451">
        <v>13</v>
      </c>
      <c r="D32" s="762" t="str">
        <f>IF(DEMANDE_Calendrier_Tournée!D34="","",DEMANDE_Calendrier_Tournée!D34)</f>
        <v/>
      </c>
      <c r="E32" s="763" t="str">
        <f>IF(DEMANDE_Calendrier_Tournée!E34="","",DEMANDE_Calendrier_Tournée!E34)</f>
        <v/>
      </c>
      <c r="F32" s="764" t="str">
        <f>IF(DEMANDE_Calendrier_Tournée!F34="","",DEMANDE_Calendrier_Tournée!F34)</f>
        <v/>
      </c>
      <c r="G32" s="763" t="str">
        <f>IF(DEMANDE_Calendrier_Tournée!G34="","",DEMANDE_Calendrier_Tournée!G34)</f>
        <v/>
      </c>
      <c r="H32" s="764" t="str">
        <f>IF(DEMANDE_Calendrier_Tournée!H34="","",DEMANDE_Calendrier_Tournée!H34)</f>
        <v/>
      </c>
      <c r="I32" s="763" t="str">
        <f>IF(DEMANDE_Calendrier_Tournée!I34="","",DEMANDE_Calendrier_Tournée!I34)</f>
        <v/>
      </c>
      <c r="J32" s="763" t="str">
        <f>IF(DEMANDE_Calendrier_Tournée!J34="","",DEMANDE_Calendrier_Tournée!J34)</f>
        <v/>
      </c>
      <c r="K32" s="765" t="str">
        <f>IF(DEMANDE_Calendrier_Tournée!K34="","",DEMANDE_Calendrier_Tournée!K34)</f>
        <v/>
      </c>
      <c r="L32" s="765"/>
      <c r="M32" s="766" t="str">
        <f>IF(DEMANDE_Calendrier_Tournée!L34="","",DEMANDE_Calendrier_Tournée!L34)</f>
        <v/>
      </c>
      <c r="N32" s="766" t="str">
        <f>IF(DEMANDE_Calendrier_Tournée!M34="","",DEMANDE_Calendrier_Tournée!M34)</f>
        <v/>
      </c>
      <c r="O32" s="119"/>
      <c r="Q32" s="453"/>
      <c r="R32" s="263">
        <f t="shared" si="7"/>
        <v>0</v>
      </c>
      <c r="S32" s="263">
        <f t="shared" si="0"/>
        <v>0</v>
      </c>
      <c r="T32" s="263">
        <f t="shared" si="8"/>
        <v>0</v>
      </c>
      <c r="U32" s="263">
        <f t="shared" si="1"/>
        <v>0</v>
      </c>
      <c r="V32" s="263">
        <f t="shared" si="11"/>
        <v>0</v>
      </c>
      <c r="W32" s="263">
        <f>IF(AND(DEMANDE_Calendrier_Tournée!D34&lt;&gt;"",RAPPORT_FINAL_Calendrier!D32=""),-1,0)</f>
        <v>0</v>
      </c>
      <c r="X32" s="423">
        <f t="shared" si="9"/>
        <v>0</v>
      </c>
      <c r="Y32" s="423">
        <f>SUM($X$20:X32)</f>
        <v>0</v>
      </c>
      <c r="Z32" s="454">
        <f t="shared" si="2"/>
        <v>0</v>
      </c>
      <c r="AA32" s="263">
        <f t="shared" si="3"/>
        <v>0</v>
      </c>
      <c r="AB32" s="263">
        <f t="shared" si="4"/>
        <v>0</v>
      </c>
      <c r="AC32" s="454">
        <f t="shared" si="5"/>
        <v>0</v>
      </c>
      <c r="AD32" s="454">
        <f t="shared" si="6"/>
        <v>0</v>
      </c>
      <c r="AE32" s="263">
        <f t="shared" si="10"/>
        <v>0</v>
      </c>
    </row>
    <row r="33" spans="2:31" s="62" customFormat="1" x14ac:dyDescent="0.35">
      <c r="B33" s="118"/>
      <c r="C33" s="451">
        <v>14</v>
      </c>
      <c r="D33" s="762" t="str">
        <f>IF(DEMANDE_Calendrier_Tournée!D35="","",DEMANDE_Calendrier_Tournée!D35)</f>
        <v/>
      </c>
      <c r="E33" s="763" t="str">
        <f>IF(DEMANDE_Calendrier_Tournée!E35="","",DEMANDE_Calendrier_Tournée!E35)</f>
        <v/>
      </c>
      <c r="F33" s="764" t="str">
        <f>IF(DEMANDE_Calendrier_Tournée!F35="","",DEMANDE_Calendrier_Tournée!F35)</f>
        <v/>
      </c>
      <c r="G33" s="763" t="str">
        <f>IF(DEMANDE_Calendrier_Tournée!G35="","",DEMANDE_Calendrier_Tournée!G35)</f>
        <v/>
      </c>
      <c r="H33" s="764" t="str">
        <f>IF(DEMANDE_Calendrier_Tournée!H35="","",DEMANDE_Calendrier_Tournée!H35)</f>
        <v/>
      </c>
      <c r="I33" s="763" t="str">
        <f>IF(DEMANDE_Calendrier_Tournée!I35="","",DEMANDE_Calendrier_Tournée!I35)</f>
        <v/>
      </c>
      <c r="J33" s="763" t="str">
        <f>IF(DEMANDE_Calendrier_Tournée!J35="","",DEMANDE_Calendrier_Tournée!J35)</f>
        <v/>
      </c>
      <c r="K33" s="765" t="str">
        <f>IF(DEMANDE_Calendrier_Tournée!K35="","",DEMANDE_Calendrier_Tournée!K35)</f>
        <v/>
      </c>
      <c r="L33" s="765"/>
      <c r="M33" s="766" t="str">
        <f>IF(DEMANDE_Calendrier_Tournée!L35="","",DEMANDE_Calendrier_Tournée!L35)</f>
        <v/>
      </c>
      <c r="N33" s="766" t="str">
        <f>IF(DEMANDE_Calendrier_Tournée!M35="","",DEMANDE_Calendrier_Tournée!M35)</f>
        <v/>
      </c>
      <c r="O33" s="119"/>
      <c r="Q33" s="453"/>
      <c r="R33" s="263">
        <f t="shared" si="7"/>
        <v>0</v>
      </c>
      <c r="S33" s="263">
        <f t="shared" si="0"/>
        <v>0</v>
      </c>
      <c r="T33" s="263">
        <f t="shared" si="8"/>
        <v>0</v>
      </c>
      <c r="U33" s="263">
        <f t="shared" si="1"/>
        <v>0</v>
      </c>
      <c r="V33" s="263">
        <f t="shared" si="11"/>
        <v>0</v>
      </c>
      <c r="W33" s="263">
        <f>IF(AND(DEMANDE_Calendrier_Tournée!D35&lt;&gt;"",RAPPORT_FINAL_Calendrier!D33=""),-1,0)</f>
        <v>0</v>
      </c>
      <c r="X33" s="423">
        <f t="shared" si="9"/>
        <v>0</v>
      </c>
      <c r="Y33" s="423">
        <f>SUM($X$20:X33)</f>
        <v>0</v>
      </c>
      <c r="Z33" s="454">
        <f t="shared" si="2"/>
        <v>0</v>
      </c>
      <c r="AA33" s="263">
        <f t="shared" si="3"/>
        <v>0</v>
      </c>
      <c r="AB33" s="263">
        <f t="shared" si="4"/>
        <v>0</v>
      </c>
      <c r="AC33" s="454">
        <f t="shared" si="5"/>
        <v>0</v>
      </c>
      <c r="AD33" s="454">
        <f t="shared" si="6"/>
        <v>0</v>
      </c>
      <c r="AE33" s="263">
        <f t="shared" si="10"/>
        <v>0</v>
      </c>
    </row>
    <row r="34" spans="2:31" s="62" customFormat="1" ht="14.5" x14ac:dyDescent="0.35">
      <c r="B34" s="118"/>
      <c r="C34" s="451">
        <v>15</v>
      </c>
      <c r="D34" s="762" t="str">
        <f>IF(DEMANDE_Calendrier_Tournée!D36="","",DEMANDE_Calendrier_Tournée!D36)</f>
        <v/>
      </c>
      <c r="E34" s="763" t="str">
        <f>IF(DEMANDE_Calendrier_Tournée!E36="","",DEMANDE_Calendrier_Tournée!E36)</f>
        <v/>
      </c>
      <c r="F34" s="764" t="str">
        <f>IF(DEMANDE_Calendrier_Tournée!F36="","",DEMANDE_Calendrier_Tournée!F36)</f>
        <v/>
      </c>
      <c r="G34" s="763" t="str">
        <f>IF(DEMANDE_Calendrier_Tournée!G36="","",DEMANDE_Calendrier_Tournée!G36)</f>
        <v/>
      </c>
      <c r="H34" s="764" t="str">
        <f>IF(DEMANDE_Calendrier_Tournée!H36="","",DEMANDE_Calendrier_Tournée!H36)</f>
        <v/>
      </c>
      <c r="I34" s="763" t="str">
        <f>IF(DEMANDE_Calendrier_Tournée!I36="","",DEMANDE_Calendrier_Tournée!I36)</f>
        <v/>
      </c>
      <c r="J34" s="763" t="str">
        <f>IF(DEMANDE_Calendrier_Tournée!J36="","",DEMANDE_Calendrier_Tournée!J36)</f>
        <v/>
      </c>
      <c r="K34" s="765" t="str">
        <f>IF(DEMANDE_Calendrier_Tournée!K36="","",DEMANDE_Calendrier_Tournée!K36)</f>
        <v/>
      </c>
      <c r="L34" s="765"/>
      <c r="M34" s="766" t="str">
        <f>IF(DEMANDE_Calendrier_Tournée!L36="","",DEMANDE_Calendrier_Tournée!L36)</f>
        <v/>
      </c>
      <c r="N34" s="766" t="str">
        <f>IF(DEMANDE_Calendrier_Tournée!M36="","",DEMANDE_Calendrier_Tournée!M36)</f>
        <v/>
      </c>
      <c r="O34" s="119"/>
      <c r="Q34" s="657" t="s">
        <v>66</v>
      </c>
      <c r="R34" s="263">
        <f t="shared" si="7"/>
        <v>0</v>
      </c>
      <c r="S34" s="263">
        <f t="shared" si="0"/>
        <v>0</v>
      </c>
      <c r="T34" s="263">
        <f t="shared" si="8"/>
        <v>0</v>
      </c>
      <c r="U34" s="263">
        <f t="shared" si="1"/>
        <v>0</v>
      </c>
      <c r="V34" s="263">
        <f t="shared" si="11"/>
        <v>0</v>
      </c>
      <c r="W34" s="263">
        <f>IF(AND(DEMANDE_Calendrier_Tournée!D36&lt;&gt;"",RAPPORT_FINAL_Calendrier!D34=""),-1,0)</f>
        <v>0</v>
      </c>
      <c r="X34" s="423">
        <f t="shared" si="9"/>
        <v>0</v>
      </c>
      <c r="Y34" s="423">
        <f>SUM($X$20:X34)</f>
        <v>0</v>
      </c>
      <c r="Z34" s="454">
        <f t="shared" si="2"/>
        <v>0</v>
      </c>
      <c r="AA34" s="263">
        <f t="shared" si="3"/>
        <v>0</v>
      </c>
      <c r="AB34" s="263">
        <f t="shared" si="4"/>
        <v>0</v>
      </c>
      <c r="AC34" s="454">
        <f t="shared" si="5"/>
        <v>0</v>
      </c>
      <c r="AD34" s="454">
        <f t="shared" si="6"/>
        <v>0</v>
      </c>
      <c r="AE34" s="263">
        <f t="shared" si="10"/>
        <v>0</v>
      </c>
    </row>
    <row r="35" spans="2:31" s="62" customFormat="1" x14ac:dyDescent="0.35">
      <c r="B35" s="118"/>
      <c r="C35" s="451">
        <v>16</v>
      </c>
      <c r="D35" s="762" t="str">
        <f>IF(DEMANDE_Calendrier_Tournée!D37="","",DEMANDE_Calendrier_Tournée!D37)</f>
        <v/>
      </c>
      <c r="E35" s="763" t="str">
        <f>IF(DEMANDE_Calendrier_Tournée!E37="","",DEMANDE_Calendrier_Tournée!E37)</f>
        <v/>
      </c>
      <c r="F35" s="764" t="str">
        <f>IF(DEMANDE_Calendrier_Tournée!F37="","",DEMANDE_Calendrier_Tournée!F37)</f>
        <v/>
      </c>
      <c r="G35" s="763" t="str">
        <f>IF(DEMANDE_Calendrier_Tournée!G37="","",DEMANDE_Calendrier_Tournée!G37)</f>
        <v/>
      </c>
      <c r="H35" s="764" t="str">
        <f>IF(DEMANDE_Calendrier_Tournée!H37="","",DEMANDE_Calendrier_Tournée!H37)</f>
        <v/>
      </c>
      <c r="I35" s="763" t="str">
        <f>IF(DEMANDE_Calendrier_Tournée!I37="","",DEMANDE_Calendrier_Tournée!I37)</f>
        <v/>
      </c>
      <c r="J35" s="763" t="str">
        <f>IF(DEMANDE_Calendrier_Tournée!J37="","",DEMANDE_Calendrier_Tournée!J37)</f>
        <v/>
      </c>
      <c r="K35" s="765" t="str">
        <f>IF(DEMANDE_Calendrier_Tournée!K37="","",DEMANDE_Calendrier_Tournée!K37)</f>
        <v/>
      </c>
      <c r="L35" s="765"/>
      <c r="M35" s="766" t="str">
        <f>IF(DEMANDE_Calendrier_Tournée!L37="","",DEMANDE_Calendrier_Tournée!L37)</f>
        <v/>
      </c>
      <c r="N35" s="766" t="str">
        <f>IF(DEMANDE_Calendrier_Tournée!M37="","",DEMANDE_Calendrier_Tournée!M37)</f>
        <v/>
      </c>
      <c r="O35" s="119"/>
      <c r="Q35" s="453"/>
      <c r="R35" s="263">
        <f t="shared" si="7"/>
        <v>0</v>
      </c>
      <c r="S35" s="263">
        <f t="shared" si="0"/>
        <v>0</v>
      </c>
      <c r="T35" s="263">
        <f t="shared" si="8"/>
        <v>0</v>
      </c>
      <c r="U35" s="263">
        <f t="shared" si="1"/>
        <v>0</v>
      </c>
      <c r="V35" s="263">
        <f>IF(D35="",0,IF(D35=D34,-1,0))</f>
        <v>0</v>
      </c>
      <c r="W35" s="263">
        <f>IF(AND(DEMANDE_Calendrier_Tournée!D37&lt;&gt;"",RAPPORT_FINAL_Calendrier!D35=""),-1,0)</f>
        <v>0</v>
      </c>
      <c r="X35" s="423">
        <f t="shared" si="9"/>
        <v>0</v>
      </c>
      <c r="Y35" s="423">
        <f>SUM($X$20:X35)</f>
        <v>0</v>
      </c>
      <c r="Z35" s="454">
        <f t="shared" si="2"/>
        <v>0</v>
      </c>
      <c r="AA35" s="263">
        <f t="shared" si="3"/>
        <v>0</v>
      </c>
      <c r="AB35" s="263">
        <f t="shared" si="4"/>
        <v>0</v>
      </c>
      <c r="AC35" s="454">
        <f t="shared" si="5"/>
        <v>0</v>
      </c>
      <c r="AD35" s="454">
        <f t="shared" si="6"/>
        <v>0</v>
      </c>
      <c r="AE35" s="263">
        <f t="shared" si="10"/>
        <v>0</v>
      </c>
    </row>
    <row r="36" spans="2:31" s="62" customFormat="1" x14ac:dyDescent="0.35">
      <c r="B36" s="118"/>
      <c r="C36" s="451">
        <v>17</v>
      </c>
      <c r="D36" s="762" t="str">
        <f>IF(DEMANDE_Calendrier_Tournée!D38="","",DEMANDE_Calendrier_Tournée!D38)</f>
        <v/>
      </c>
      <c r="E36" s="763" t="str">
        <f>IF(DEMANDE_Calendrier_Tournée!E38="","",DEMANDE_Calendrier_Tournée!E38)</f>
        <v/>
      </c>
      <c r="F36" s="764" t="str">
        <f>IF(DEMANDE_Calendrier_Tournée!F38="","",DEMANDE_Calendrier_Tournée!F38)</f>
        <v/>
      </c>
      <c r="G36" s="763" t="str">
        <f>IF(DEMANDE_Calendrier_Tournée!G38="","",DEMANDE_Calendrier_Tournée!G38)</f>
        <v/>
      </c>
      <c r="H36" s="764" t="str">
        <f>IF(DEMANDE_Calendrier_Tournée!H38="","",DEMANDE_Calendrier_Tournée!H38)</f>
        <v/>
      </c>
      <c r="I36" s="763" t="str">
        <f>IF(DEMANDE_Calendrier_Tournée!I38="","",DEMANDE_Calendrier_Tournée!I38)</f>
        <v/>
      </c>
      <c r="J36" s="763" t="str">
        <f>IF(DEMANDE_Calendrier_Tournée!J38="","",DEMANDE_Calendrier_Tournée!J38)</f>
        <v/>
      </c>
      <c r="K36" s="765" t="str">
        <f>IF(DEMANDE_Calendrier_Tournée!K38="","",DEMANDE_Calendrier_Tournée!K38)</f>
        <v/>
      </c>
      <c r="L36" s="765"/>
      <c r="M36" s="766" t="str">
        <f>IF(DEMANDE_Calendrier_Tournée!L38="","",DEMANDE_Calendrier_Tournée!L38)</f>
        <v/>
      </c>
      <c r="N36" s="766" t="str">
        <f>IF(DEMANDE_Calendrier_Tournée!M38="","",DEMANDE_Calendrier_Tournée!M38)</f>
        <v/>
      </c>
      <c r="O36" s="119"/>
      <c r="Q36" s="453"/>
      <c r="R36" s="263">
        <f t="shared" si="7"/>
        <v>0</v>
      </c>
      <c r="S36" s="263">
        <f t="shared" si="0"/>
        <v>0</v>
      </c>
      <c r="T36" s="263">
        <f t="shared" si="8"/>
        <v>0</v>
      </c>
      <c r="U36" s="263">
        <f t="shared" si="1"/>
        <v>0</v>
      </c>
      <c r="V36" s="263">
        <f t="shared" ref="V36:V69" si="12">IF(D36="",0,IF(D36=D35,-1,0))</f>
        <v>0</v>
      </c>
      <c r="W36" s="263">
        <f>IF(AND(DEMANDE_Calendrier_Tournée!D38&lt;&gt;"",RAPPORT_FINAL_Calendrier!D36=""),-1,0)</f>
        <v>0</v>
      </c>
      <c r="X36" s="423">
        <f t="shared" si="9"/>
        <v>0</v>
      </c>
      <c r="Y36" s="423">
        <f>SUM($X$20:X36)</f>
        <v>0</v>
      </c>
      <c r="Z36" s="454">
        <f t="shared" si="2"/>
        <v>0</v>
      </c>
      <c r="AA36" s="263">
        <f t="shared" si="3"/>
        <v>0</v>
      </c>
      <c r="AB36" s="263">
        <f t="shared" si="4"/>
        <v>0</v>
      </c>
      <c r="AC36" s="454">
        <f t="shared" si="5"/>
        <v>0</v>
      </c>
      <c r="AD36" s="454">
        <f t="shared" si="6"/>
        <v>0</v>
      </c>
      <c r="AE36" s="263">
        <f t="shared" si="10"/>
        <v>0</v>
      </c>
    </row>
    <row r="37" spans="2:31" s="62" customFormat="1" x14ac:dyDescent="0.35">
      <c r="B37" s="118"/>
      <c r="C37" s="451">
        <v>18</v>
      </c>
      <c r="D37" s="762" t="str">
        <f>IF(DEMANDE_Calendrier_Tournée!D39="","",DEMANDE_Calendrier_Tournée!D39)</f>
        <v/>
      </c>
      <c r="E37" s="763" t="str">
        <f>IF(DEMANDE_Calendrier_Tournée!E39="","",DEMANDE_Calendrier_Tournée!E39)</f>
        <v/>
      </c>
      <c r="F37" s="764" t="str">
        <f>IF(DEMANDE_Calendrier_Tournée!F39="","",DEMANDE_Calendrier_Tournée!F39)</f>
        <v/>
      </c>
      <c r="G37" s="763" t="str">
        <f>IF(DEMANDE_Calendrier_Tournée!G39="","",DEMANDE_Calendrier_Tournée!G39)</f>
        <v/>
      </c>
      <c r="H37" s="764" t="str">
        <f>IF(DEMANDE_Calendrier_Tournée!H39="","",DEMANDE_Calendrier_Tournée!H39)</f>
        <v/>
      </c>
      <c r="I37" s="763" t="str">
        <f>IF(DEMANDE_Calendrier_Tournée!I39="","",DEMANDE_Calendrier_Tournée!I39)</f>
        <v/>
      </c>
      <c r="J37" s="763" t="str">
        <f>IF(DEMANDE_Calendrier_Tournée!J39="","",DEMANDE_Calendrier_Tournée!J39)</f>
        <v/>
      </c>
      <c r="K37" s="765" t="str">
        <f>IF(DEMANDE_Calendrier_Tournée!K39="","",DEMANDE_Calendrier_Tournée!K39)</f>
        <v/>
      </c>
      <c r="L37" s="765"/>
      <c r="M37" s="766" t="str">
        <f>IF(DEMANDE_Calendrier_Tournée!L39="","",DEMANDE_Calendrier_Tournée!L39)</f>
        <v/>
      </c>
      <c r="N37" s="766" t="str">
        <f>IF(DEMANDE_Calendrier_Tournée!M39="","",DEMANDE_Calendrier_Tournée!M39)</f>
        <v/>
      </c>
      <c r="O37" s="119"/>
      <c r="Q37" s="453"/>
      <c r="R37" s="263">
        <f t="shared" si="7"/>
        <v>0</v>
      </c>
      <c r="S37" s="263">
        <f t="shared" si="0"/>
        <v>0</v>
      </c>
      <c r="T37" s="263">
        <f t="shared" si="8"/>
        <v>0</v>
      </c>
      <c r="U37" s="263">
        <f t="shared" si="1"/>
        <v>0</v>
      </c>
      <c r="V37" s="263">
        <f t="shared" si="12"/>
        <v>0</v>
      </c>
      <c r="W37" s="263">
        <f>IF(AND(DEMANDE_Calendrier_Tournée!D39&lt;&gt;"",RAPPORT_FINAL_Calendrier!D37=""),-1,0)</f>
        <v>0</v>
      </c>
      <c r="X37" s="423">
        <f t="shared" si="9"/>
        <v>0</v>
      </c>
      <c r="Y37" s="423">
        <f>SUM($X$20:X37)</f>
        <v>0</v>
      </c>
      <c r="Z37" s="454">
        <f t="shared" si="2"/>
        <v>0</v>
      </c>
      <c r="AA37" s="263">
        <f t="shared" si="3"/>
        <v>0</v>
      </c>
      <c r="AB37" s="263">
        <f t="shared" si="4"/>
        <v>0</v>
      </c>
      <c r="AC37" s="454">
        <f t="shared" si="5"/>
        <v>0</v>
      </c>
      <c r="AD37" s="454">
        <f>IF(H37="non",((Z37*R37)+(Z37*S37)+(Z37*T37)+(Z37*U37)),0)</f>
        <v>0</v>
      </c>
      <c r="AE37" s="263">
        <f t="shared" si="10"/>
        <v>0</v>
      </c>
    </row>
    <row r="38" spans="2:31" s="62" customFormat="1" x14ac:dyDescent="0.35">
      <c r="B38" s="118"/>
      <c r="C38" s="451">
        <v>19</v>
      </c>
      <c r="D38" s="762" t="str">
        <f>IF(DEMANDE_Calendrier_Tournée!D40="","",DEMANDE_Calendrier_Tournée!D40)</f>
        <v/>
      </c>
      <c r="E38" s="763" t="str">
        <f>IF(DEMANDE_Calendrier_Tournée!E40="","",DEMANDE_Calendrier_Tournée!E40)</f>
        <v/>
      </c>
      <c r="F38" s="764" t="str">
        <f>IF(DEMANDE_Calendrier_Tournée!F40="","",DEMANDE_Calendrier_Tournée!F40)</f>
        <v/>
      </c>
      <c r="G38" s="763" t="str">
        <f>IF(DEMANDE_Calendrier_Tournée!G40="","",DEMANDE_Calendrier_Tournée!G40)</f>
        <v/>
      </c>
      <c r="H38" s="764" t="str">
        <f>IF(DEMANDE_Calendrier_Tournée!H40="","",DEMANDE_Calendrier_Tournée!H40)</f>
        <v/>
      </c>
      <c r="I38" s="763" t="str">
        <f>IF(DEMANDE_Calendrier_Tournée!I40="","",DEMANDE_Calendrier_Tournée!I40)</f>
        <v/>
      </c>
      <c r="J38" s="763" t="str">
        <f>IF(DEMANDE_Calendrier_Tournée!J40="","",DEMANDE_Calendrier_Tournée!J40)</f>
        <v/>
      </c>
      <c r="K38" s="765" t="str">
        <f>IF(DEMANDE_Calendrier_Tournée!K40="","",DEMANDE_Calendrier_Tournée!K40)</f>
        <v/>
      </c>
      <c r="L38" s="765"/>
      <c r="M38" s="766" t="str">
        <f>IF(DEMANDE_Calendrier_Tournée!L40="","",DEMANDE_Calendrier_Tournée!L40)</f>
        <v/>
      </c>
      <c r="N38" s="766" t="str">
        <f>IF(DEMANDE_Calendrier_Tournée!M40="","",DEMANDE_Calendrier_Tournée!M40)</f>
        <v/>
      </c>
      <c r="O38" s="119"/>
      <c r="Q38" s="453"/>
      <c r="R38" s="263">
        <f t="shared" si="7"/>
        <v>0</v>
      </c>
      <c r="S38" s="263">
        <f t="shared" si="0"/>
        <v>0</v>
      </c>
      <c r="T38" s="263">
        <f t="shared" si="8"/>
        <v>0</v>
      </c>
      <c r="U38" s="263">
        <f t="shared" si="1"/>
        <v>0</v>
      </c>
      <c r="V38" s="263">
        <f t="shared" si="12"/>
        <v>0</v>
      </c>
      <c r="W38" s="263">
        <f>IF(AND(DEMANDE_Calendrier_Tournée!D40&lt;&gt;"",RAPPORT_FINAL_Calendrier!D38=""),-1,0)</f>
        <v>0</v>
      </c>
      <c r="X38" s="423">
        <f t="shared" si="9"/>
        <v>0</v>
      </c>
      <c r="Y38" s="423">
        <f>SUM($X$20:X38)</f>
        <v>0</v>
      </c>
      <c r="Z38" s="454">
        <f t="shared" si="2"/>
        <v>0</v>
      </c>
      <c r="AA38" s="263">
        <f t="shared" si="3"/>
        <v>0</v>
      </c>
      <c r="AB38" s="263">
        <f t="shared" si="4"/>
        <v>0</v>
      </c>
      <c r="AC38" s="454">
        <f t="shared" si="5"/>
        <v>0</v>
      </c>
      <c r="AD38" s="454">
        <f t="shared" si="6"/>
        <v>0</v>
      </c>
      <c r="AE38" s="263">
        <f t="shared" si="10"/>
        <v>0</v>
      </c>
    </row>
    <row r="39" spans="2:31" s="62" customFormat="1" x14ac:dyDescent="0.35">
      <c r="B39" s="118"/>
      <c r="C39" s="451">
        <v>20</v>
      </c>
      <c r="D39" s="762" t="str">
        <f>IF(DEMANDE_Calendrier_Tournée!D41="","",DEMANDE_Calendrier_Tournée!D41)</f>
        <v/>
      </c>
      <c r="E39" s="763" t="str">
        <f>IF(DEMANDE_Calendrier_Tournée!E41="","",DEMANDE_Calendrier_Tournée!E41)</f>
        <v/>
      </c>
      <c r="F39" s="764" t="str">
        <f>IF(DEMANDE_Calendrier_Tournée!F41="","",DEMANDE_Calendrier_Tournée!F41)</f>
        <v/>
      </c>
      <c r="G39" s="763" t="str">
        <f>IF(DEMANDE_Calendrier_Tournée!G41="","",DEMANDE_Calendrier_Tournée!G41)</f>
        <v/>
      </c>
      <c r="H39" s="764" t="str">
        <f>IF(DEMANDE_Calendrier_Tournée!H41="","",DEMANDE_Calendrier_Tournée!H41)</f>
        <v/>
      </c>
      <c r="I39" s="763" t="str">
        <f>IF(DEMANDE_Calendrier_Tournée!I41="","",DEMANDE_Calendrier_Tournée!I41)</f>
        <v/>
      </c>
      <c r="J39" s="763" t="str">
        <f>IF(DEMANDE_Calendrier_Tournée!J41="","",DEMANDE_Calendrier_Tournée!J41)</f>
        <v/>
      </c>
      <c r="K39" s="765" t="str">
        <f>IF(DEMANDE_Calendrier_Tournée!K41="","",DEMANDE_Calendrier_Tournée!K41)</f>
        <v/>
      </c>
      <c r="L39" s="765"/>
      <c r="M39" s="766" t="str">
        <f>IF(DEMANDE_Calendrier_Tournée!L41="","",DEMANDE_Calendrier_Tournée!L41)</f>
        <v/>
      </c>
      <c r="N39" s="766" t="str">
        <f>IF(DEMANDE_Calendrier_Tournée!M41="","",DEMANDE_Calendrier_Tournée!M41)</f>
        <v/>
      </c>
      <c r="O39" s="119"/>
      <c r="Q39" s="453"/>
      <c r="R39" s="263">
        <f t="shared" si="7"/>
        <v>0</v>
      </c>
      <c r="S39" s="263">
        <f t="shared" si="0"/>
        <v>0</v>
      </c>
      <c r="T39" s="263">
        <f t="shared" si="8"/>
        <v>0</v>
      </c>
      <c r="U39" s="263">
        <f t="shared" si="1"/>
        <v>0</v>
      </c>
      <c r="V39" s="263">
        <f t="shared" si="12"/>
        <v>0</v>
      </c>
      <c r="W39" s="263">
        <f>IF(AND(DEMANDE_Calendrier_Tournée!D41&lt;&gt;"",RAPPORT_FINAL_Calendrier!D39=""),-1,0)</f>
        <v>0</v>
      </c>
      <c r="X39" s="423">
        <f t="shared" si="9"/>
        <v>0</v>
      </c>
      <c r="Y39" s="423">
        <f>SUM($X$20:X39)</f>
        <v>0</v>
      </c>
      <c r="Z39" s="454">
        <f t="shared" si="2"/>
        <v>0</v>
      </c>
      <c r="AA39" s="263">
        <f t="shared" si="3"/>
        <v>0</v>
      </c>
      <c r="AB39" s="263">
        <f t="shared" si="4"/>
        <v>0</v>
      </c>
      <c r="AC39" s="454">
        <f t="shared" si="5"/>
        <v>0</v>
      </c>
      <c r="AD39" s="454">
        <f t="shared" si="6"/>
        <v>0</v>
      </c>
      <c r="AE39" s="263">
        <f t="shared" si="10"/>
        <v>0</v>
      </c>
    </row>
    <row r="40" spans="2:31" s="62" customFormat="1" x14ac:dyDescent="0.35">
      <c r="B40" s="118"/>
      <c r="C40" s="451">
        <v>21</v>
      </c>
      <c r="D40" s="762" t="str">
        <f>IF(DEMANDE_Calendrier_Tournée!D42="","",DEMANDE_Calendrier_Tournée!D42)</f>
        <v/>
      </c>
      <c r="E40" s="763" t="str">
        <f>IF(DEMANDE_Calendrier_Tournée!E42="","",DEMANDE_Calendrier_Tournée!E42)</f>
        <v/>
      </c>
      <c r="F40" s="764" t="str">
        <f>IF(DEMANDE_Calendrier_Tournée!F42="","",DEMANDE_Calendrier_Tournée!F42)</f>
        <v/>
      </c>
      <c r="G40" s="763" t="str">
        <f>IF(DEMANDE_Calendrier_Tournée!G42="","",DEMANDE_Calendrier_Tournée!G42)</f>
        <v/>
      </c>
      <c r="H40" s="764" t="str">
        <f>IF(DEMANDE_Calendrier_Tournée!H42="","",DEMANDE_Calendrier_Tournée!H42)</f>
        <v/>
      </c>
      <c r="I40" s="763" t="str">
        <f>IF(DEMANDE_Calendrier_Tournée!I42="","",DEMANDE_Calendrier_Tournée!I42)</f>
        <v/>
      </c>
      <c r="J40" s="763" t="str">
        <f>IF(DEMANDE_Calendrier_Tournée!J42="","",DEMANDE_Calendrier_Tournée!J42)</f>
        <v/>
      </c>
      <c r="K40" s="765" t="str">
        <f>IF(DEMANDE_Calendrier_Tournée!K42="","",DEMANDE_Calendrier_Tournée!K42)</f>
        <v/>
      </c>
      <c r="L40" s="765"/>
      <c r="M40" s="766" t="str">
        <f>IF(DEMANDE_Calendrier_Tournée!L42="","",DEMANDE_Calendrier_Tournée!L42)</f>
        <v/>
      </c>
      <c r="N40" s="766" t="str">
        <f>IF(DEMANDE_Calendrier_Tournée!M42="","",DEMANDE_Calendrier_Tournée!M42)</f>
        <v/>
      </c>
      <c r="O40" s="119"/>
      <c r="Q40" s="453"/>
      <c r="R40" s="263">
        <f t="shared" si="7"/>
        <v>0</v>
      </c>
      <c r="S40" s="263">
        <f t="shared" si="0"/>
        <v>0</v>
      </c>
      <c r="T40" s="263">
        <f t="shared" si="8"/>
        <v>0</v>
      </c>
      <c r="U40" s="263">
        <f t="shared" si="1"/>
        <v>0</v>
      </c>
      <c r="V40" s="263">
        <f t="shared" si="12"/>
        <v>0</v>
      </c>
      <c r="W40" s="263">
        <f>IF(AND(DEMANDE_Calendrier_Tournée!D42&lt;&gt;"",RAPPORT_FINAL_Calendrier!D40=""),-1,0)</f>
        <v>0</v>
      </c>
      <c r="X40" s="423">
        <f t="shared" si="9"/>
        <v>0</v>
      </c>
      <c r="Y40" s="423">
        <f>SUM($X$20:X40)</f>
        <v>0</v>
      </c>
      <c r="Z40" s="454">
        <f t="shared" si="2"/>
        <v>0</v>
      </c>
      <c r="AA40" s="263">
        <f t="shared" si="3"/>
        <v>0</v>
      </c>
      <c r="AB40" s="263">
        <f t="shared" si="4"/>
        <v>0</v>
      </c>
      <c r="AC40" s="454">
        <f t="shared" si="5"/>
        <v>0</v>
      </c>
      <c r="AD40" s="454">
        <f t="shared" si="6"/>
        <v>0</v>
      </c>
      <c r="AE40" s="263">
        <f t="shared" si="10"/>
        <v>0</v>
      </c>
    </row>
    <row r="41" spans="2:31" s="62" customFormat="1" x14ac:dyDescent="0.35">
      <c r="B41" s="118"/>
      <c r="C41" s="451">
        <v>22</v>
      </c>
      <c r="D41" s="762" t="str">
        <f>IF(DEMANDE_Calendrier_Tournée!D43="","",DEMANDE_Calendrier_Tournée!D43)</f>
        <v/>
      </c>
      <c r="E41" s="763" t="str">
        <f>IF(DEMANDE_Calendrier_Tournée!E43="","",DEMANDE_Calendrier_Tournée!E43)</f>
        <v/>
      </c>
      <c r="F41" s="764" t="str">
        <f>IF(DEMANDE_Calendrier_Tournée!F43="","",DEMANDE_Calendrier_Tournée!F43)</f>
        <v/>
      </c>
      <c r="G41" s="763" t="str">
        <f>IF(DEMANDE_Calendrier_Tournée!G43="","",DEMANDE_Calendrier_Tournée!G43)</f>
        <v/>
      </c>
      <c r="H41" s="764" t="str">
        <f>IF(DEMANDE_Calendrier_Tournée!H43="","",DEMANDE_Calendrier_Tournée!H43)</f>
        <v/>
      </c>
      <c r="I41" s="763" t="str">
        <f>IF(DEMANDE_Calendrier_Tournée!I43="","",DEMANDE_Calendrier_Tournée!I43)</f>
        <v/>
      </c>
      <c r="J41" s="763" t="str">
        <f>IF(DEMANDE_Calendrier_Tournée!J43="","",DEMANDE_Calendrier_Tournée!J43)</f>
        <v/>
      </c>
      <c r="K41" s="765" t="str">
        <f>IF(DEMANDE_Calendrier_Tournée!K43="","",DEMANDE_Calendrier_Tournée!K43)</f>
        <v/>
      </c>
      <c r="L41" s="765"/>
      <c r="M41" s="766" t="str">
        <f>IF(DEMANDE_Calendrier_Tournée!L43="","",DEMANDE_Calendrier_Tournée!L43)</f>
        <v/>
      </c>
      <c r="N41" s="766" t="str">
        <f>IF(DEMANDE_Calendrier_Tournée!M43="","",DEMANDE_Calendrier_Tournée!M43)</f>
        <v/>
      </c>
      <c r="O41" s="119"/>
      <c r="Q41" s="453"/>
      <c r="R41" s="263">
        <f t="shared" si="7"/>
        <v>0</v>
      </c>
      <c r="S41" s="263">
        <f t="shared" si="0"/>
        <v>0</v>
      </c>
      <c r="T41" s="263">
        <f t="shared" si="8"/>
        <v>0</v>
      </c>
      <c r="U41" s="263">
        <f t="shared" si="1"/>
        <v>0</v>
      </c>
      <c r="V41" s="263">
        <f t="shared" si="12"/>
        <v>0</v>
      </c>
      <c r="W41" s="263">
        <f>IF(AND(DEMANDE_Calendrier_Tournée!D43&lt;&gt;"",RAPPORT_FINAL_Calendrier!D41=""),-1,0)</f>
        <v>0</v>
      </c>
      <c r="X41" s="423">
        <f t="shared" si="9"/>
        <v>0</v>
      </c>
      <c r="Y41" s="423">
        <f>SUM($X$20:X41)</f>
        <v>0</v>
      </c>
      <c r="Z41" s="454">
        <f t="shared" si="2"/>
        <v>0</v>
      </c>
      <c r="AA41" s="263">
        <f t="shared" si="3"/>
        <v>0</v>
      </c>
      <c r="AB41" s="263">
        <f t="shared" si="4"/>
        <v>0</v>
      </c>
      <c r="AC41" s="454">
        <f t="shared" si="5"/>
        <v>0</v>
      </c>
      <c r="AD41" s="454">
        <f t="shared" si="6"/>
        <v>0</v>
      </c>
      <c r="AE41" s="263">
        <f t="shared" si="10"/>
        <v>0</v>
      </c>
    </row>
    <row r="42" spans="2:31" s="62" customFormat="1" x14ac:dyDescent="0.35">
      <c r="B42" s="118"/>
      <c r="C42" s="451">
        <v>23</v>
      </c>
      <c r="D42" s="762" t="str">
        <f>IF(DEMANDE_Calendrier_Tournée!D44="","",DEMANDE_Calendrier_Tournée!D44)</f>
        <v/>
      </c>
      <c r="E42" s="763" t="str">
        <f>IF(DEMANDE_Calendrier_Tournée!E44="","",DEMANDE_Calendrier_Tournée!E44)</f>
        <v/>
      </c>
      <c r="F42" s="764" t="str">
        <f>IF(DEMANDE_Calendrier_Tournée!F44="","",DEMANDE_Calendrier_Tournée!F44)</f>
        <v/>
      </c>
      <c r="G42" s="763" t="str">
        <f>IF(DEMANDE_Calendrier_Tournée!G44="","",DEMANDE_Calendrier_Tournée!G44)</f>
        <v/>
      </c>
      <c r="H42" s="764" t="str">
        <f>IF(DEMANDE_Calendrier_Tournée!H44="","",DEMANDE_Calendrier_Tournée!H44)</f>
        <v/>
      </c>
      <c r="I42" s="763" t="str">
        <f>IF(DEMANDE_Calendrier_Tournée!I44="","",DEMANDE_Calendrier_Tournée!I44)</f>
        <v/>
      </c>
      <c r="J42" s="763" t="str">
        <f>IF(DEMANDE_Calendrier_Tournée!J44="","",DEMANDE_Calendrier_Tournée!J44)</f>
        <v/>
      </c>
      <c r="K42" s="765" t="str">
        <f>IF(DEMANDE_Calendrier_Tournée!K44="","",DEMANDE_Calendrier_Tournée!K44)</f>
        <v/>
      </c>
      <c r="L42" s="765"/>
      <c r="M42" s="766" t="str">
        <f>IF(DEMANDE_Calendrier_Tournée!L44="","",DEMANDE_Calendrier_Tournée!L44)</f>
        <v/>
      </c>
      <c r="N42" s="766" t="str">
        <f>IF(DEMANDE_Calendrier_Tournée!M44="","",DEMANDE_Calendrier_Tournée!M44)</f>
        <v/>
      </c>
      <c r="O42" s="119"/>
      <c r="Q42" s="453"/>
      <c r="R42" s="263">
        <f t="shared" si="7"/>
        <v>0</v>
      </c>
      <c r="S42" s="263">
        <f t="shared" si="0"/>
        <v>0</v>
      </c>
      <c r="T42" s="263">
        <f t="shared" si="8"/>
        <v>0</v>
      </c>
      <c r="U42" s="263">
        <f t="shared" si="1"/>
        <v>0</v>
      </c>
      <c r="V42" s="263">
        <f t="shared" si="12"/>
        <v>0</v>
      </c>
      <c r="W42" s="263">
        <f>IF(AND(DEMANDE_Calendrier_Tournée!D44&lt;&gt;"",RAPPORT_FINAL_Calendrier!D42=""),-1,0)</f>
        <v>0</v>
      </c>
      <c r="X42" s="423">
        <f t="shared" si="9"/>
        <v>0</v>
      </c>
      <c r="Y42" s="423">
        <f>SUM($X$20:X42)</f>
        <v>0</v>
      </c>
      <c r="Z42" s="454">
        <f t="shared" si="2"/>
        <v>0</v>
      </c>
      <c r="AA42" s="263">
        <f t="shared" si="3"/>
        <v>0</v>
      </c>
      <c r="AB42" s="263">
        <f t="shared" si="4"/>
        <v>0</v>
      </c>
      <c r="AC42" s="454">
        <f t="shared" si="5"/>
        <v>0</v>
      </c>
      <c r="AD42" s="454">
        <f t="shared" si="6"/>
        <v>0</v>
      </c>
      <c r="AE42" s="263">
        <f t="shared" si="10"/>
        <v>0</v>
      </c>
    </row>
    <row r="43" spans="2:31" s="62" customFormat="1" x14ac:dyDescent="0.35">
      <c r="B43" s="118"/>
      <c r="C43" s="451">
        <v>24</v>
      </c>
      <c r="D43" s="762" t="str">
        <f>IF(DEMANDE_Calendrier_Tournée!D45="","",DEMANDE_Calendrier_Tournée!D45)</f>
        <v/>
      </c>
      <c r="E43" s="763" t="str">
        <f>IF(DEMANDE_Calendrier_Tournée!E45="","",DEMANDE_Calendrier_Tournée!E45)</f>
        <v/>
      </c>
      <c r="F43" s="764" t="str">
        <f>IF(DEMANDE_Calendrier_Tournée!F45="","",DEMANDE_Calendrier_Tournée!F45)</f>
        <v/>
      </c>
      <c r="G43" s="763" t="str">
        <f>IF(DEMANDE_Calendrier_Tournée!G45="","",DEMANDE_Calendrier_Tournée!G45)</f>
        <v/>
      </c>
      <c r="H43" s="764" t="str">
        <f>IF(DEMANDE_Calendrier_Tournée!H45="","",DEMANDE_Calendrier_Tournée!H45)</f>
        <v/>
      </c>
      <c r="I43" s="763" t="str">
        <f>IF(DEMANDE_Calendrier_Tournée!I45="","",DEMANDE_Calendrier_Tournée!I45)</f>
        <v/>
      </c>
      <c r="J43" s="763" t="str">
        <f>IF(DEMANDE_Calendrier_Tournée!J45="","",DEMANDE_Calendrier_Tournée!J45)</f>
        <v/>
      </c>
      <c r="K43" s="765" t="str">
        <f>IF(DEMANDE_Calendrier_Tournée!K45="","",DEMANDE_Calendrier_Tournée!K45)</f>
        <v/>
      </c>
      <c r="L43" s="765"/>
      <c r="M43" s="766" t="str">
        <f>IF(DEMANDE_Calendrier_Tournée!L45="","",DEMANDE_Calendrier_Tournée!L45)</f>
        <v/>
      </c>
      <c r="N43" s="766" t="str">
        <f>IF(DEMANDE_Calendrier_Tournée!M45="","",DEMANDE_Calendrier_Tournée!M45)</f>
        <v/>
      </c>
      <c r="O43" s="119"/>
      <c r="Q43" s="453"/>
      <c r="R43" s="263">
        <f t="shared" si="7"/>
        <v>0</v>
      </c>
      <c r="S43" s="263">
        <f t="shared" si="0"/>
        <v>0</v>
      </c>
      <c r="T43" s="263">
        <f t="shared" si="8"/>
        <v>0</v>
      </c>
      <c r="U43" s="263">
        <f t="shared" si="1"/>
        <v>0</v>
      </c>
      <c r="V43" s="263">
        <f t="shared" si="12"/>
        <v>0</v>
      </c>
      <c r="W43" s="263">
        <f>IF(AND(DEMANDE_Calendrier_Tournée!D45&lt;&gt;"",RAPPORT_FINAL_Calendrier!D43=""),-1,0)</f>
        <v>0</v>
      </c>
      <c r="X43" s="423">
        <f t="shared" si="9"/>
        <v>0</v>
      </c>
      <c r="Y43" s="423">
        <f>SUM($X$20:X43)</f>
        <v>0</v>
      </c>
      <c r="Z43" s="454">
        <f t="shared" si="2"/>
        <v>0</v>
      </c>
      <c r="AA43" s="263">
        <f t="shared" si="3"/>
        <v>0</v>
      </c>
      <c r="AB43" s="263">
        <f t="shared" si="4"/>
        <v>0</v>
      </c>
      <c r="AC43" s="454">
        <f t="shared" si="5"/>
        <v>0</v>
      </c>
      <c r="AD43" s="454">
        <f t="shared" si="6"/>
        <v>0</v>
      </c>
      <c r="AE43" s="263">
        <f t="shared" si="10"/>
        <v>0</v>
      </c>
    </row>
    <row r="44" spans="2:31" s="62" customFormat="1" x14ac:dyDescent="0.35">
      <c r="B44" s="118"/>
      <c r="C44" s="451">
        <v>25</v>
      </c>
      <c r="D44" s="762" t="str">
        <f>IF(DEMANDE_Calendrier_Tournée!D46="","",DEMANDE_Calendrier_Tournée!D46)</f>
        <v/>
      </c>
      <c r="E44" s="763" t="str">
        <f>IF(DEMANDE_Calendrier_Tournée!E46="","",DEMANDE_Calendrier_Tournée!E46)</f>
        <v/>
      </c>
      <c r="F44" s="764" t="str">
        <f>IF(DEMANDE_Calendrier_Tournée!F46="","",DEMANDE_Calendrier_Tournée!F46)</f>
        <v/>
      </c>
      <c r="G44" s="763" t="str">
        <f>IF(DEMANDE_Calendrier_Tournée!G46="","",DEMANDE_Calendrier_Tournée!G46)</f>
        <v/>
      </c>
      <c r="H44" s="764" t="str">
        <f>IF(DEMANDE_Calendrier_Tournée!H46="","",DEMANDE_Calendrier_Tournée!H46)</f>
        <v/>
      </c>
      <c r="I44" s="763" t="str">
        <f>IF(DEMANDE_Calendrier_Tournée!I46="","",DEMANDE_Calendrier_Tournée!I46)</f>
        <v/>
      </c>
      <c r="J44" s="763" t="str">
        <f>IF(DEMANDE_Calendrier_Tournée!J46="","",DEMANDE_Calendrier_Tournée!J46)</f>
        <v/>
      </c>
      <c r="K44" s="765" t="str">
        <f>IF(DEMANDE_Calendrier_Tournée!K46="","",DEMANDE_Calendrier_Tournée!K46)</f>
        <v/>
      </c>
      <c r="L44" s="765"/>
      <c r="M44" s="766" t="str">
        <f>IF(DEMANDE_Calendrier_Tournée!L46="","",DEMANDE_Calendrier_Tournée!L46)</f>
        <v/>
      </c>
      <c r="N44" s="766" t="str">
        <f>IF(DEMANDE_Calendrier_Tournée!M46="","",DEMANDE_Calendrier_Tournée!M46)</f>
        <v/>
      </c>
      <c r="O44" s="119"/>
      <c r="Q44" s="453"/>
      <c r="R44" s="263">
        <f t="shared" si="7"/>
        <v>0</v>
      </c>
      <c r="S44" s="263">
        <f t="shared" si="0"/>
        <v>0</v>
      </c>
      <c r="T44" s="263">
        <f t="shared" si="8"/>
        <v>0</v>
      </c>
      <c r="U44" s="263">
        <f t="shared" si="1"/>
        <v>0</v>
      </c>
      <c r="V44" s="263">
        <f t="shared" si="12"/>
        <v>0</v>
      </c>
      <c r="W44" s="263">
        <f>IF(AND(DEMANDE_Calendrier_Tournée!D46&lt;&gt;"",RAPPORT_FINAL_Calendrier!D44=""),-1,0)</f>
        <v>0</v>
      </c>
      <c r="X44" s="423">
        <f t="shared" si="9"/>
        <v>0</v>
      </c>
      <c r="Y44" s="423">
        <f>SUM($X$20:X44)</f>
        <v>0</v>
      </c>
      <c r="Z44" s="454">
        <f t="shared" si="2"/>
        <v>0</v>
      </c>
      <c r="AA44" s="263">
        <f t="shared" si="3"/>
        <v>0</v>
      </c>
      <c r="AB44" s="263">
        <f t="shared" si="4"/>
        <v>0</v>
      </c>
      <c r="AC44" s="454">
        <f t="shared" si="5"/>
        <v>0</v>
      </c>
      <c r="AD44" s="454">
        <f t="shared" si="6"/>
        <v>0</v>
      </c>
      <c r="AE44" s="263">
        <f t="shared" si="10"/>
        <v>0</v>
      </c>
    </row>
    <row r="45" spans="2:31" s="62" customFormat="1" x14ac:dyDescent="0.35">
      <c r="B45" s="118"/>
      <c r="C45" s="451">
        <v>26</v>
      </c>
      <c r="D45" s="762" t="str">
        <f>IF(DEMANDE_Calendrier_Tournée!D47="","",DEMANDE_Calendrier_Tournée!D47)</f>
        <v/>
      </c>
      <c r="E45" s="763" t="str">
        <f>IF(DEMANDE_Calendrier_Tournée!E47="","",DEMANDE_Calendrier_Tournée!E47)</f>
        <v/>
      </c>
      <c r="F45" s="764" t="str">
        <f>IF(DEMANDE_Calendrier_Tournée!F47="","",DEMANDE_Calendrier_Tournée!F47)</f>
        <v/>
      </c>
      <c r="G45" s="763" t="str">
        <f>IF(DEMANDE_Calendrier_Tournée!G47="","",DEMANDE_Calendrier_Tournée!G47)</f>
        <v/>
      </c>
      <c r="H45" s="764" t="str">
        <f>IF(DEMANDE_Calendrier_Tournée!H47="","",DEMANDE_Calendrier_Tournée!H47)</f>
        <v/>
      </c>
      <c r="I45" s="763" t="str">
        <f>IF(DEMANDE_Calendrier_Tournée!I47="","",DEMANDE_Calendrier_Tournée!I47)</f>
        <v/>
      </c>
      <c r="J45" s="763" t="str">
        <f>IF(DEMANDE_Calendrier_Tournée!J47="","",DEMANDE_Calendrier_Tournée!J47)</f>
        <v/>
      </c>
      <c r="K45" s="765" t="str">
        <f>IF(DEMANDE_Calendrier_Tournée!K47="","",DEMANDE_Calendrier_Tournée!K47)</f>
        <v/>
      </c>
      <c r="L45" s="765"/>
      <c r="M45" s="766" t="str">
        <f>IF(DEMANDE_Calendrier_Tournée!L47="","",DEMANDE_Calendrier_Tournée!L47)</f>
        <v/>
      </c>
      <c r="N45" s="766" t="str">
        <f>IF(DEMANDE_Calendrier_Tournée!M47="","",DEMANDE_Calendrier_Tournée!M47)</f>
        <v/>
      </c>
      <c r="O45" s="119"/>
      <c r="Q45" s="453"/>
      <c r="R45" s="263">
        <f t="shared" si="7"/>
        <v>0</v>
      </c>
      <c r="S45" s="263">
        <f t="shared" si="0"/>
        <v>0</v>
      </c>
      <c r="T45" s="263">
        <f t="shared" si="8"/>
        <v>0</v>
      </c>
      <c r="U45" s="263">
        <f t="shared" si="1"/>
        <v>0</v>
      </c>
      <c r="V45" s="263">
        <f t="shared" si="12"/>
        <v>0</v>
      </c>
      <c r="W45" s="263">
        <f>IF(AND(DEMANDE_Calendrier_Tournée!D47&lt;&gt;"",RAPPORT_FINAL_Calendrier!D45=""),-1,0)</f>
        <v>0</v>
      </c>
      <c r="X45" s="423">
        <f t="shared" si="9"/>
        <v>0</v>
      </c>
      <c r="Y45" s="423">
        <f>SUM($X$20:X45)</f>
        <v>0</v>
      </c>
      <c r="Z45" s="454">
        <f t="shared" si="2"/>
        <v>0</v>
      </c>
      <c r="AA45" s="263">
        <f t="shared" si="3"/>
        <v>0</v>
      </c>
      <c r="AB45" s="263">
        <f t="shared" si="4"/>
        <v>0</v>
      </c>
      <c r="AC45" s="454">
        <f t="shared" si="5"/>
        <v>0</v>
      </c>
      <c r="AD45" s="454">
        <f t="shared" si="6"/>
        <v>0</v>
      </c>
      <c r="AE45" s="263">
        <f t="shared" si="10"/>
        <v>0</v>
      </c>
    </row>
    <row r="46" spans="2:31" s="62" customFormat="1" x14ac:dyDescent="0.35">
      <c r="B46" s="118"/>
      <c r="C46" s="451">
        <v>27</v>
      </c>
      <c r="D46" s="762" t="str">
        <f>IF(DEMANDE_Calendrier_Tournée!D48="","",DEMANDE_Calendrier_Tournée!D48)</f>
        <v/>
      </c>
      <c r="E46" s="763" t="str">
        <f>IF(DEMANDE_Calendrier_Tournée!E48="","",DEMANDE_Calendrier_Tournée!E48)</f>
        <v/>
      </c>
      <c r="F46" s="764" t="str">
        <f>IF(DEMANDE_Calendrier_Tournée!F48="","",DEMANDE_Calendrier_Tournée!F48)</f>
        <v/>
      </c>
      <c r="G46" s="763" t="str">
        <f>IF(DEMANDE_Calendrier_Tournée!G48="","",DEMANDE_Calendrier_Tournée!G48)</f>
        <v/>
      </c>
      <c r="H46" s="764" t="str">
        <f>IF(DEMANDE_Calendrier_Tournée!H48="","",DEMANDE_Calendrier_Tournée!H48)</f>
        <v/>
      </c>
      <c r="I46" s="763" t="str">
        <f>IF(DEMANDE_Calendrier_Tournée!I48="","",DEMANDE_Calendrier_Tournée!I48)</f>
        <v/>
      </c>
      <c r="J46" s="763" t="str">
        <f>IF(DEMANDE_Calendrier_Tournée!J48="","",DEMANDE_Calendrier_Tournée!J48)</f>
        <v/>
      </c>
      <c r="K46" s="765" t="str">
        <f>IF(DEMANDE_Calendrier_Tournée!K48="","",DEMANDE_Calendrier_Tournée!K48)</f>
        <v/>
      </c>
      <c r="L46" s="765"/>
      <c r="M46" s="766" t="str">
        <f>IF(DEMANDE_Calendrier_Tournée!L48="","",DEMANDE_Calendrier_Tournée!L48)</f>
        <v/>
      </c>
      <c r="N46" s="766" t="str">
        <f>IF(DEMANDE_Calendrier_Tournée!M48="","",DEMANDE_Calendrier_Tournée!M48)</f>
        <v/>
      </c>
      <c r="O46" s="119"/>
      <c r="Q46" s="453"/>
      <c r="R46" s="263">
        <f t="shared" si="7"/>
        <v>0</v>
      </c>
      <c r="S46" s="263">
        <f t="shared" si="0"/>
        <v>0</v>
      </c>
      <c r="T46" s="263">
        <f t="shared" si="8"/>
        <v>0</v>
      </c>
      <c r="U46" s="263">
        <f t="shared" si="1"/>
        <v>0</v>
      </c>
      <c r="V46" s="263">
        <f t="shared" si="12"/>
        <v>0</v>
      </c>
      <c r="W46" s="263">
        <f>IF(AND(DEMANDE_Calendrier_Tournée!D48&lt;&gt;"",RAPPORT_FINAL_Calendrier!D46=""),-1,0)</f>
        <v>0</v>
      </c>
      <c r="X46" s="423">
        <f t="shared" si="9"/>
        <v>0</v>
      </c>
      <c r="Y46" s="423">
        <f>SUM($X$20:X46)</f>
        <v>0</v>
      </c>
      <c r="Z46" s="454">
        <f t="shared" si="2"/>
        <v>0</v>
      </c>
      <c r="AA46" s="263">
        <f t="shared" si="3"/>
        <v>0</v>
      </c>
      <c r="AB46" s="263">
        <f t="shared" si="4"/>
        <v>0</v>
      </c>
      <c r="AC46" s="454">
        <f t="shared" si="5"/>
        <v>0</v>
      </c>
      <c r="AD46" s="454">
        <f t="shared" si="6"/>
        <v>0</v>
      </c>
      <c r="AE46" s="263">
        <f t="shared" si="10"/>
        <v>0</v>
      </c>
    </row>
    <row r="47" spans="2:31" s="62" customFormat="1" x14ac:dyDescent="0.35">
      <c r="B47" s="118"/>
      <c r="C47" s="451">
        <v>28</v>
      </c>
      <c r="D47" s="762" t="str">
        <f>IF(DEMANDE_Calendrier_Tournée!D49="","",DEMANDE_Calendrier_Tournée!D49)</f>
        <v/>
      </c>
      <c r="E47" s="763" t="str">
        <f>IF(DEMANDE_Calendrier_Tournée!E49="","",DEMANDE_Calendrier_Tournée!E49)</f>
        <v/>
      </c>
      <c r="F47" s="764" t="str">
        <f>IF(DEMANDE_Calendrier_Tournée!F49="","",DEMANDE_Calendrier_Tournée!F49)</f>
        <v/>
      </c>
      <c r="G47" s="763" t="str">
        <f>IF(DEMANDE_Calendrier_Tournée!G49="","",DEMANDE_Calendrier_Tournée!G49)</f>
        <v/>
      </c>
      <c r="H47" s="764" t="str">
        <f>IF(DEMANDE_Calendrier_Tournée!H49="","",DEMANDE_Calendrier_Tournée!H49)</f>
        <v/>
      </c>
      <c r="I47" s="763" t="str">
        <f>IF(DEMANDE_Calendrier_Tournée!I49="","",DEMANDE_Calendrier_Tournée!I49)</f>
        <v/>
      </c>
      <c r="J47" s="763" t="str">
        <f>IF(DEMANDE_Calendrier_Tournée!J49="","",DEMANDE_Calendrier_Tournée!J49)</f>
        <v/>
      </c>
      <c r="K47" s="765" t="str">
        <f>IF(DEMANDE_Calendrier_Tournée!K49="","",DEMANDE_Calendrier_Tournée!K49)</f>
        <v/>
      </c>
      <c r="L47" s="765"/>
      <c r="M47" s="766" t="str">
        <f>IF(DEMANDE_Calendrier_Tournée!L49="","",DEMANDE_Calendrier_Tournée!L49)</f>
        <v/>
      </c>
      <c r="N47" s="766" t="str">
        <f>IF(DEMANDE_Calendrier_Tournée!M49="","",DEMANDE_Calendrier_Tournée!M49)</f>
        <v/>
      </c>
      <c r="O47" s="119"/>
      <c r="Q47" s="453"/>
      <c r="R47" s="263">
        <f t="shared" si="7"/>
        <v>0</v>
      </c>
      <c r="S47" s="263">
        <f t="shared" si="0"/>
        <v>0</v>
      </c>
      <c r="T47" s="263">
        <f t="shared" si="8"/>
        <v>0</v>
      </c>
      <c r="U47" s="263">
        <f t="shared" si="1"/>
        <v>0</v>
      </c>
      <c r="V47" s="263">
        <f t="shared" si="12"/>
        <v>0</v>
      </c>
      <c r="W47" s="263">
        <f>IF(AND(DEMANDE_Calendrier_Tournée!D49&lt;&gt;"",RAPPORT_FINAL_Calendrier!D47=""),-1,0)</f>
        <v>0</v>
      </c>
      <c r="X47" s="423">
        <f t="shared" si="9"/>
        <v>0</v>
      </c>
      <c r="Y47" s="423">
        <f>SUM($X$20:X47)</f>
        <v>0</v>
      </c>
      <c r="Z47" s="454">
        <f t="shared" si="2"/>
        <v>0</v>
      </c>
      <c r="AA47" s="263">
        <f t="shared" si="3"/>
        <v>0</v>
      </c>
      <c r="AB47" s="263">
        <f t="shared" si="4"/>
        <v>0</v>
      </c>
      <c r="AC47" s="454">
        <f t="shared" si="5"/>
        <v>0</v>
      </c>
      <c r="AD47" s="454">
        <f t="shared" si="6"/>
        <v>0</v>
      </c>
      <c r="AE47" s="263">
        <f t="shared" si="10"/>
        <v>0</v>
      </c>
    </row>
    <row r="48" spans="2:31" s="62" customFormat="1" x14ac:dyDescent="0.35">
      <c r="B48" s="118"/>
      <c r="C48" s="451">
        <v>29</v>
      </c>
      <c r="D48" s="762" t="str">
        <f>IF(DEMANDE_Calendrier_Tournée!D50="","",DEMANDE_Calendrier_Tournée!D50)</f>
        <v/>
      </c>
      <c r="E48" s="763" t="str">
        <f>IF(DEMANDE_Calendrier_Tournée!E50="","",DEMANDE_Calendrier_Tournée!E50)</f>
        <v/>
      </c>
      <c r="F48" s="764" t="str">
        <f>IF(DEMANDE_Calendrier_Tournée!F50="","",DEMANDE_Calendrier_Tournée!F50)</f>
        <v/>
      </c>
      <c r="G48" s="763" t="str">
        <f>IF(DEMANDE_Calendrier_Tournée!G50="","",DEMANDE_Calendrier_Tournée!G50)</f>
        <v/>
      </c>
      <c r="H48" s="764" t="str">
        <f>IF(DEMANDE_Calendrier_Tournée!H50="","",DEMANDE_Calendrier_Tournée!H50)</f>
        <v/>
      </c>
      <c r="I48" s="763" t="str">
        <f>IF(DEMANDE_Calendrier_Tournée!I50="","",DEMANDE_Calendrier_Tournée!I50)</f>
        <v/>
      </c>
      <c r="J48" s="763" t="str">
        <f>IF(DEMANDE_Calendrier_Tournée!J50="","",DEMANDE_Calendrier_Tournée!J50)</f>
        <v/>
      </c>
      <c r="K48" s="765" t="str">
        <f>IF(DEMANDE_Calendrier_Tournée!K50="","",DEMANDE_Calendrier_Tournée!K50)</f>
        <v/>
      </c>
      <c r="L48" s="765"/>
      <c r="M48" s="766" t="str">
        <f>IF(DEMANDE_Calendrier_Tournée!L50="","",DEMANDE_Calendrier_Tournée!L50)</f>
        <v/>
      </c>
      <c r="N48" s="766" t="str">
        <f>IF(DEMANDE_Calendrier_Tournée!M50="","",DEMANDE_Calendrier_Tournée!M50)</f>
        <v/>
      </c>
      <c r="O48" s="119"/>
      <c r="Q48" s="453"/>
      <c r="R48" s="263">
        <f t="shared" si="7"/>
        <v>0</v>
      </c>
      <c r="S48" s="263">
        <f t="shared" si="0"/>
        <v>0</v>
      </c>
      <c r="T48" s="263">
        <f t="shared" si="8"/>
        <v>0</v>
      </c>
      <c r="U48" s="263">
        <f t="shared" si="1"/>
        <v>0</v>
      </c>
      <c r="V48" s="263">
        <f t="shared" si="12"/>
        <v>0</v>
      </c>
      <c r="W48" s="263">
        <f>IF(AND(DEMANDE_Calendrier_Tournée!D50&lt;&gt;"",RAPPORT_FINAL_Calendrier!D48=""),-1,0)</f>
        <v>0</v>
      </c>
      <c r="X48" s="423">
        <f t="shared" si="9"/>
        <v>0</v>
      </c>
      <c r="Y48" s="423">
        <f>SUM($X$20:X48)</f>
        <v>0</v>
      </c>
      <c r="Z48" s="454">
        <f t="shared" si="2"/>
        <v>0</v>
      </c>
      <c r="AA48" s="263">
        <f t="shared" si="3"/>
        <v>0</v>
      </c>
      <c r="AB48" s="263">
        <f t="shared" si="4"/>
        <v>0</v>
      </c>
      <c r="AC48" s="454">
        <f t="shared" si="5"/>
        <v>0</v>
      </c>
      <c r="AD48" s="454">
        <f t="shared" si="6"/>
        <v>0</v>
      </c>
      <c r="AE48" s="263">
        <f t="shared" si="10"/>
        <v>0</v>
      </c>
    </row>
    <row r="49" spans="2:31" s="62" customFormat="1" x14ac:dyDescent="0.35">
      <c r="B49" s="118"/>
      <c r="C49" s="451">
        <v>30</v>
      </c>
      <c r="D49" s="762" t="str">
        <f>IF(DEMANDE_Calendrier_Tournée!D51="","",DEMANDE_Calendrier_Tournée!D51)</f>
        <v/>
      </c>
      <c r="E49" s="763" t="str">
        <f>IF(DEMANDE_Calendrier_Tournée!E51="","",DEMANDE_Calendrier_Tournée!E51)</f>
        <v/>
      </c>
      <c r="F49" s="764" t="str">
        <f>IF(DEMANDE_Calendrier_Tournée!F51="","",DEMANDE_Calendrier_Tournée!F51)</f>
        <v/>
      </c>
      <c r="G49" s="763" t="str">
        <f>IF(DEMANDE_Calendrier_Tournée!G51="","",DEMANDE_Calendrier_Tournée!G51)</f>
        <v/>
      </c>
      <c r="H49" s="764" t="str">
        <f>IF(DEMANDE_Calendrier_Tournée!H51="","",DEMANDE_Calendrier_Tournée!H51)</f>
        <v/>
      </c>
      <c r="I49" s="763"/>
      <c r="J49" s="763" t="str">
        <f>IF(DEMANDE_Calendrier_Tournée!J51="","",DEMANDE_Calendrier_Tournée!J51)</f>
        <v/>
      </c>
      <c r="K49" s="765" t="str">
        <f>IF(DEMANDE_Calendrier_Tournée!K51="","",DEMANDE_Calendrier_Tournée!K51)</f>
        <v/>
      </c>
      <c r="L49" s="765"/>
      <c r="M49" s="766" t="str">
        <f>IF(DEMANDE_Calendrier_Tournée!L51="","",DEMANDE_Calendrier_Tournée!L51)</f>
        <v/>
      </c>
      <c r="N49" s="766" t="str">
        <f>IF(DEMANDE_Calendrier_Tournée!M51="","",DEMANDE_Calendrier_Tournée!M51)</f>
        <v/>
      </c>
      <c r="O49" s="119"/>
      <c r="Q49" s="453"/>
      <c r="R49" s="263">
        <f t="shared" si="7"/>
        <v>0</v>
      </c>
      <c r="S49" s="263">
        <f t="shared" si="0"/>
        <v>0</v>
      </c>
      <c r="T49" s="263">
        <f t="shared" si="8"/>
        <v>0</v>
      </c>
      <c r="U49" s="263">
        <f t="shared" si="1"/>
        <v>0</v>
      </c>
      <c r="V49" s="263">
        <f t="shared" si="12"/>
        <v>0</v>
      </c>
      <c r="W49" s="263">
        <f>IF(AND(DEMANDE_Calendrier_Tournée!D51&lt;&gt;"",RAPPORT_FINAL_Calendrier!D49=""),-1,0)</f>
        <v>0</v>
      </c>
      <c r="X49" s="423">
        <f t="shared" si="9"/>
        <v>0</v>
      </c>
      <c r="Y49" s="423">
        <f>SUM($X$20:X49)</f>
        <v>0</v>
      </c>
      <c r="Z49" s="454">
        <f t="shared" si="2"/>
        <v>0</v>
      </c>
      <c r="AA49" s="263">
        <f t="shared" si="3"/>
        <v>0</v>
      </c>
      <c r="AB49" s="263">
        <f t="shared" si="4"/>
        <v>0</v>
      </c>
      <c r="AC49" s="454">
        <f t="shared" si="5"/>
        <v>0</v>
      </c>
      <c r="AD49" s="454">
        <f t="shared" si="6"/>
        <v>0</v>
      </c>
      <c r="AE49" s="263">
        <f t="shared" si="10"/>
        <v>0</v>
      </c>
    </row>
    <row r="50" spans="2:31" s="62" customFormat="1" x14ac:dyDescent="0.35">
      <c r="B50" s="118"/>
      <c r="C50" s="451">
        <v>31</v>
      </c>
      <c r="D50" s="762" t="str">
        <f>IF(DEMANDE_Calendrier_Tournée!D52="","",DEMANDE_Calendrier_Tournée!D52)</f>
        <v/>
      </c>
      <c r="E50" s="763" t="str">
        <f>IF(DEMANDE_Calendrier_Tournée!E52="","",DEMANDE_Calendrier_Tournée!E52)</f>
        <v/>
      </c>
      <c r="F50" s="764" t="str">
        <f>IF(DEMANDE_Calendrier_Tournée!F52="","",DEMANDE_Calendrier_Tournée!F52)</f>
        <v/>
      </c>
      <c r="G50" s="763" t="str">
        <f>IF(DEMANDE_Calendrier_Tournée!G52="","",DEMANDE_Calendrier_Tournée!G52)</f>
        <v/>
      </c>
      <c r="H50" s="764" t="str">
        <f>IF(DEMANDE_Calendrier_Tournée!H52="","",DEMANDE_Calendrier_Tournée!H52)</f>
        <v/>
      </c>
      <c r="I50" s="763" t="str">
        <f>IF(DEMANDE_Calendrier_Tournée!I52="","",DEMANDE_Calendrier_Tournée!I52)</f>
        <v/>
      </c>
      <c r="J50" s="763" t="str">
        <f>IF(DEMANDE_Calendrier_Tournée!J52="","",DEMANDE_Calendrier_Tournée!J52)</f>
        <v/>
      </c>
      <c r="K50" s="765" t="str">
        <f>IF(DEMANDE_Calendrier_Tournée!K52="","",DEMANDE_Calendrier_Tournée!K52)</f>
        <v/>
      </c>
      <c r="L50" s="765"/>
      <c r="M50" s="766" t="str">
        <f>IF(DEMANDE_Calendrier_Tournée!L52="","",DEMANDE_Calendrier_Tournée!L52)</f>
        <v/>
      </c>
      <c r="N50" s="766" t="str">
        <f>IF(DEMANDE_Calendrier_Tournée!M52="","",DEMANDE_Calendrier_Tournée!M52)</f>
        <v/>
      </c>
      <c r="O50" s="119"/>
      <c r="Q50" s="453"/>
      <c r="R50" s="263">
        <f t="shared" si="7"/>
        <v>0</v>
      </c>
      <c r="S50" s="263">
        <f t="shared" si="0"/>
        <v>0</v>
      </c>
      <c r="T50" s="263">
        <f t="shared" si="8"/>
        <v>0</v>
      </c>
      <c r="U50" s="263">
        <f t="shared" si="1"/>
        <v>0</v>
      </c>
      <c r="V50" s="263">
        <f t="shared" si="12"/>
        <v>0</v>
      </c>
      <c r="W50" s="263">
        <f>IF(AND(DEMANDE_Calendrier_Tournée!D52&lt;&gt;"",RAPPORT_FINAL_Calendrier!D50=""),-1,0)</f>
        <v>0</v>
      </c>
      <c r="X50" s="423">
        <f t="shared" si="9"/>
        <v>0</v>
      </c>
      <c r="Y50" s="423">
        <f>SUM($X$20:X50)</f>
        <v>0</v>
      </c>
      <c r="Z50" s="454">
        <f t="shared" si="2"/>
        <v>0</v>
      </c>
      <c r="AA50" s="263">
        <f t="shared" si="3"/>
        <v>0</v>
      </c>
      <c r="AB50" s="263">
        <f t="shared" si="4"/>
        <v>0</v>
      </c>
      <c r="AC50" s="454">
        <f t="shared" si="5"/>
        <v>0</v>
      </c>
      <c r="AD50" s="454">
        <f t="shared" si="6"/>
        <v>0</v>
      </c>
      <c r="AE50" s="263">
        <f t="shared" si="10"/>
        <v>0</v>
      </c>
    </row>
    <row r="51" spans="2:31" s="62" customFormat="1" x14ac:dyDescent="0.35">
      <c r="B51" s="118"/>
      <c r="C51" s="451">
        <v>32</v>
      </c>
      <c r="D51" s="762" t="str">
        <f>IF(DEMANDE_Calendrier_Tournée!D53="","",DEMANDE_Calendrier_Tournée!D53)</f>
        <v/>
      </c>
      <c r="E51" s="763" t="str">
        <f>IF(DEMANDE_Calendrier_Tournée!E53="","",DEMANDE_Calendrier_Tournée!E53)</f>
        <v/>
      </c>
      <c r="F51" s="764" t="str">
        <f>IF(DEMANDE_Calendrier_Tournée!F53="","",DEMANDE_Calendrier_Tournée!F53)</f>
        <v/>
      </c>
      <c r="G51" s="763" t="str">
        <f>IF(DEMANDE_Calendrier_Tournée!G53="","",DEMANDE_Calendrier_Tournée!G53)</f>
        <v/>
      </c>
      <c r="H51" s="764" t="str">
        <f>IF(DEMANDE_Calendrier_Tournée!H53="","",DEMANDE_Calendrier_Tournée!H53)</f>
        <v/>
      </c>
      <c r="I51" s="763" t="str">
        <f>IF(DEMANDE_Calendrier_Tournée!I53="","",DEMANDE_Calendrier_Tournée!I53)</f>
        <v/>
      </c>
      <c r="J51" s="763" t="str">
        <f>IF(DEMANDE_Calendrier_Tournée!J53="","",DEMANDE_Calendrier_Tournée!J53)</f>
        <v/>
      </c>
      <c r="K51" s="765" t="str">
        <f>IF(DEMANDE_Calendrier_Tournée!K53="","",DEMANDE_Calendrier_Tournée!K53)</f>
        <v/>
      </c>
      <c r="L51" s="765"/>
      <c r="M51" s="766" t="str">
        <f>IF(DEMANDE_Calendrier_Tournée!L53="","",DEMANDE_Calendrier_Tournée!L53)</f>
        <v/>
      </c>
      <c r="N51" s="766" t="str">
        <f>IF(DEMANDE_Calendrier_Tournée!M53="","",DEMANDE_Calendrier_Tournée!M53)</f>
        <v/>
      </c>
      <c r="O51" s="119"/>
      <c r="Q51" s="453"/>
      <c r="R51" s="263">
        <f t="shared" si="7"/>
        <v>0</v>
      </c>
      <c r="S51" s="263">
        <f t="shared" si="0"/>
        <v>0</v>
      </c>
      <c r="T51" s="263">
        <f t="shared" si="8"/>
        <v>0</v>
      </c>
      <c r="U51" s="263">
        <f t="shared" si="1"/>
        <v>0</v>
      </c>
      <c r="V51" s="263">
        <f t="shared" si="12"/>
        <v>0</v>
      </c>
      <c r="W51" s="263">
        <f>IF(AND(DEMANDE_Calendrier_Tournée!D53&lt;&gt;"",RAPPORT_FINAL_Calendrier!D51=""),-1,0)</f>
        <v>0</v>
      </c>
      <c r="X51" s="423">
        <f t="shared" si="9"/>
        <v>0</v>
      </c>
      <c r="Y51" s="423">
        <f>SUM($X$20:X51)</f>
        <v>0</v>
      </c>
      <c r="Z51" s="454">
        <f t="shared" si="2"/>
        <v>0</v>
      </c>
      <c r="AA51" s="263">
        <f t="shared" si="3"/>
        <v>0</v>
      </c>
      <c r="AB51" s="263">
        <f t="shared" si="4"/>
        <v>0</v>
      </c>
      <c r="AC51" s="454">
        <f t="shared" si="5"/>
        <v>0</v>
      </c>
      <c r="AD51" s="454">
        <f t="shared" si="6"/>
        <v>0</v>
      </c>
      <c r="AE51" s="263">
        <f t="shared" si="10"/>
        <v>0</v>
      </c>
    </row>
    <row r="52" spans="2:31" s="62" customFormat="1" x14ac:dyDescent="0.35">
      <c r="B52" s="118"/>
      <c r="C52" s="451">
        <v>33</v>
      </c>
      <c r="D52" s="762" t="str">
        <f>IF(DEMANDE_Calendrier_Tournée!D54="","",DEMANDE_Calendrier_Tournée!D54)</f>
        <v/>
      </c>
      <c r="E52" s="763" t="str">
        <f>IF(DEMANDE_Calendrier_Tournée!E54="","",DEMANDE_Calendrier_Tournée!E54)</f>
        <v/>
      </c>
      <c r="F52" s="764" t="str">
        <f>IF(DEMANDE_Calendrier_Tournée!F54="","",DEMANDE_Calendrier_Tournée!F54)</f>
        <v/>
      </c>
      <c r="G52" s="763" t="str">
        <f>IF(DEMANDE_Calendrier_Tournée!G54="","",DEMANDE_Calendrier_Tournée!G54)</f>
        <v/>
      </c>
      <c r="H52" s="764" t="str">
        <f>IF(DEMANDE_Calendrier_Tournée!H54="","",DEMANDE_Calendrier_Tournée!H54)</f>
        <v/>
      </c>
      <c r="I52" s="763" t="str">
        <f>IF(DEMANDE_Calendrier_Tournée!I54="","",DEMANDE_Calendrier_Tournée!I54)</f>
        <v/>
      </c>
      <c r="J52" s="763" t="str">
        <f>IF(DEMANDE_Calendrier_Tournée!J54="","",DEMANDE_Calendrier_Tournée!J54)</f>
        <v/>
      </c>
      <c r="K52" s="765" t="str">
        <f>IF(DEMANDE_Calendrier_Tournée!K54="","",DEMANDE_Calendrier_Tournée!K54)</f>
        <v/>
      </c>
      <c r="L52" s="765"/>
      <c r="M52" s="766" t="str">
        <f>IF(DEMANDE_Calendrier_Tournée!L54="","",DEMANDE_Calendrier_Tournée!L54)</f>
        <v/>
      </c>
      <c r="N52" s="766" t="str">
        <f>IF(DEMANDE_Calendrier_Tournée!M54="","",DEMANDE_Calendrier_Tournée!M54)</f>
        <v/>
      </c>
      <c r="O52" s="119"/>
      <c r="Q52" s="453"/>
      <c r="R52" s="263">
        <f t="shared" si="7"/>
        <v>0</v>
      </c>
      <c r="S52" s="263">
        <f t="shared" si="0"/>
        <v>0</v>
      </c>
      <c r="T52" s="263">
        <f t="shared" si="8"/>
        <v>0</v>
      </c>
      <c r="U52" s="263">
        <f t="shared" si="1"/>
        <v>0</v>
      </c>
      <c r="V52" s="263">
        <f t="shared" si="12"/>
        <v>0</v>
      </c>
      <c r="W52" s="263">
        <f>IF(AND(DEMANDE_Calendrier_Tournée!D54&lt;&gt;"",RAPPORT_FINAL_Calendrier!D52=""),-1,0)</f>
        <v>0</v>
      </c>
      <c r="X52" s="423">
        <f t="shared" si="9"/>
        <v>0</v>
      </c>
      <c r="Y52" s="423">
        <f>SUM($X$20:X52)</f>
        <v>0</v>
      </c>
      <c r="Z52" s="454">
        <f t="shared" si="2"/>
        <v>0</v>
      </c>
      <c r="AA52" s="263">
        <f t="shared" si="3"/>
        <v>0</v>
      </c>
      <c r="AB52" s="263">
        <f t="shared" si="4"/>
        <v>0</v>
      </c>
      <c r="AC52" s="454">
        <f t="shared" si="5"/>
        <v>0</v>
      </c>
      <c r="AD52" s="454">
        <f t="shared" si="6"/>
        <v>0</v>
      </c>
      <c r="AE52" s="263">
        <f t="shared" si="10"/>
        <v>0</v>
      </c>
    </row>
    <row r="53" spans="2:31" s="62" customFormat="1" x14ac:dyDescent="0.35">
      <c r="B53" s="118"/>
      <c r="C53" s="451">
        <v>34</v>
      </c>
      <c r="D53" s="762" t="str">
        <f>IF(DEMANDE_Calendrier_Tournée!D55="","",DEMANDE_Calendrier_Tournée!D55)</f>
        <v/>
      </c>
      <c r="E53" s="763" t="str">
        <f>IF(DEMANDE_Calendrier_Tournée!E55="","",DEMANDE_Calendrier_Tournée!E55)</f>
        <v/>
      </c>
      <c r="F53" s="764" t="str">
        <f>IF(DEMANDE_Calendrier_Tournée!F55="","",DEMANDE_Calendrier_Tournée!F55)</f>
        <v/>
      </c>
      <c r="G53" s="763" t="str">
        <f>IF(DEMANDE_Calendrier_Tournée!G55="","",DEMANDE_Calendrier_Tournée!G55)</f>
        <v/>
      </c>
      <c r="H53" s="764" t="str">
        <f>IF(DEMANDE_Calendrier_Tournée!H55="","",DEMANDE_Calendrier_Tournée!H55)</f>
        <v/>
      </c>
      <c r="I53" s="763" t="str">
        <f>IF(DEMANDE_Calendrier_Tournée!I55="","",DEMANDE_Calendrier_Tournée!I55)</f>
        <v/>
      </c>
      <c r="J53" s="763" t="str">
        <f>IF(DEMANDE_Calendrier_Tournée!J55="","",DEMANDE_Calendrier_Tournée!J55)</f>
        <v/>
      </c>
      <c r="K53" s="765" t="str">
        <f>IF(DEMANDE_Calendrier_Tournée!K55="","",DEMANDE_Calendrier_Tournée!K55)</f>
        <v/>
      </c>
      <c r="L53" s="765"/>
      <c r="M53" s="766" t="str">
        <f>IF(DEMANDE_Calendrier_Tournée!L55="","",DEMANDE_Calendrier_Tournée!L55)</f>
        <v/>
      </c>
      <c r="N53" s="766" t="str">
        <f>IF(DEMANDE_Calendrier_Tournée!M55="","",DEMANDE_Calendrier_Tournée!M55)</f>
        <v/>
      </c>
      <c r="O53" s="119"/>
      <c r="Q53" s="453"/>
      <c r="R53" s="263">
        <f t="shared" si="7"/>
        <v>0</v>
      </c>
      <c r="S53" s="263">
        <f t="shared" si="0"/>
        <v>0</v>
      </c>
      <c r="T53" s="263">
        <f t="shared" si="8"/>
        <v>0</v>
      </c>
      <c r="U53" s="263">
        <f t="shared" si="1"/>
        <v>0</v>
      </c>
      <c r="V53" s="263">
        <f t="shared" si="12"/>
        <v>0</v>
      </c>
      <c r="W53" s="263">
        <f>IF(AND(DEMANDE_Calendrier_Tournée!D55&lt;&gt;"",RAPPORT_FINAL_Calendrier!D53=""),-1,0)</f>
        <v>0</v>
      </c>
      <c r="X53" s="423">
        <f t="shared" si="9"/>
        <v>0</v>
      </c>
      <c r="Y53" s="423">
        <f>SUM($X$20:X53)</f>
        <v>0</v>
      </c>
      <c r="Z53" s="454">
        <f t="shared" si="2"/>
        <v>0</v>
      </c>
      <c r="AA53" s="263">
        <f t="shared" si="3"/>
        <v>0</v>
      </c>
      <c r="AB53" s="263">
        <f t="shared" si="4"/>
        <v>0</v>
      </c>
      <c r="AC53" s="454">
        <f t="shared" si="5"/>
        <v>0</v>
      </c>
      <c r="AD53" s="454">
        <f t="shared" si="6"/>
        <v>0</v>
      </c>
      <c r="AE53" s="263">
        <f t="shared" si="10"/>
        <v>0</v>
      </c>
    </row>
    <row r="54" spans="2:31" s="62" customFormat="1" x14ac:dyDescent="0.35">
      <c r="B54" s="118"/>
      <c r="C54" s="451">
        <v>35</v>
      </c>
      <c r="D54" s="762" t="str">
        <f>IF(DEMANDE_Calendrier_Tournée!D56="","",DEMANDE_Calendrier_Tournée!D56)</f>
        <v/>
      </c>
      <c r="E54" s="763" t="str">
        <f>IF(DEMANDE_Calendrier_Tournée!E56="","",DEMANDE_Calendrier_Tournée!E56)</f>
        <v/>
      </c>
      <c r="F54" s="764" t="str">
        <f>IF(DEMANDE_Calendrier_Tournée!F56="","",DEMANDE_Calendrier_Tournée!F56)</f>
        <v/>
      </c>
      <c r="G54" s="763" t="str">
        <f>IF(DEMANDE_Calendrier_Tournée!G56="","",DEMANDE_Calendrier_Tournée!G56)</f>
        <v/>
      </c>
      <c r="H54" s="764" t="str">
        <f>IF(DEMANDE_Calendrier_Tournée!H56="","",DEMANDE_Calendrier_Tournée!H56)</f>
        <v/>
      </c>
      <c r="I54" s="763" t="str">
        <f>IF(DEMANDE_Calendrier_Tournée!I56="","",DEMANDE_Calendrier_Tournée!I56)</f>
        <v/>
      </c>
      <c r="J54" s="763" t="str">
        <f>IF(DEMANDE_Calendrier_Tournée!J56="","",DEMANDE_Calendrier_Tournée!J56)</f>
        <v/>
      </c>
      <c r="K54" s="765" t="str">
        <f>IF(DEMANDE_Calendrier_Tournée!K56="","",DEMANDE_Calendrier_Tournée!K56)</f>
        <v/>
      </c>
      <c r="L54" s="765"/>
      <c r="M54" s="766" t="str">
        <f>IF(DEMANDE_Calendrier_Tournée!L56="","",DEMANDE_Calendrier_Tournée!L56)</f>
        <v/>
      </c>
      <c r="N54" s="766" t="str">
        <f>IF(DEMANDE_Calendrier_Tournée!M56="","",DEMANDE_Calendrier_Tournée!M56)</f>
        <v/>
      </c>
      <c r="O54" s="119"/>
      <c r="Q54" s="453"/>
      <c r="R54" s="263">
        <f t="shared" si="7"/>
        <v>0</v>
      </c>
      <c r="S54" s="263">
        <f t="shared" si="0"/>
        <v>0</v>
      </c>
      <c r="T54" s="263">
        <f t="shared" si="8"/>
        <v>0</v>
      </c>
      <c r="U54" s="263">
        <f t="shared" si="1"/>
        <v>0</v>
      </c>
      <c r="V54" s="263">
        <f t="shared" si="12"/>
        <v>0</v>
      </c>
      <c r="W54" s="263">
        <f>IF(AND(DEMANDE_Calendrier_Tournée!D56&lt;&gt;"",RAPPORT_FINAL_Calendrier!D54=""),-1,0)</f>
        <v>0</v>
      </c>
      <c r="X54" s="423">
        <f t="shared" si="9"/>
        <v>0</v>
      </c>
      <c r="Y54" s="423">
        <f>SUM($X$20:X54)</f>
        <v>0</v>
      </c>
      <c r="Z54" s="454">
        <f t="shared" si="2"/>
        <v>0</v>
      </c>
      <c r="AA54" s="263">
        <f t="shared" si="3"/>
        <v>0</v>
      </c>
      <c r="AB54" s="263">
        <f t="shared" si="4"/>
        <v>0</v>
      </c>
      <c r="AC54" s="454">
        <f t="shared" si="5"/>
        <v>0</v>
      </c>
      <c r="AD54" s="454">
        <f t="shared" si="6"/>
        <v>0</v>
      </c>
      <c r="AE54" s="263">
        <f t="shared" si="10"/>
        <v>0</v>
      </c>
    </row>
    <row r="55" spans="2:31" s="62" customFormat="1" x14ac:dyDescent="0.35">
      <c r="B55" s="118"/>
      <c r="C55" s="451">
        <v>36</v>
      </c>
      <c r="D55" s="762" t="str">
        <f>IF(DEMANDE_Calendrier_Tournée!D57="","",DEMANDE_Calendrier_Tournée!D57)</f>
        <v/>
      </c>
      <c r="E55" s="763" t="str">
        <f>IF(DEMANDE_Calendrier_Tournée!E57="","",DEMANDE_Calendrier_Tournée!E57)</f>
        <v/>
      </c>
      <c r="F55" s="764" t="str">
        <f>IF(DEMANDE_Calendrier_Tournée!F57="","",DEMANDE_Calendrier_Tournée!F57)</f>
        <v/>
      </c>
      <c r="G55" s="763" t="str">
        <f>IF(DEMANDE_Calendrier_Tournée!G57="","",DEMANDE_Calendrier_Tournée!G57)</f>
        <v/>
      </c>
      <c r="H55" s="764" t="str">
        <f>IF(DEMANDE_Calendrier_Tournée!H57="","",DEMANDE_Calendrier_Tournée!H57)</f>
        <v/>
      </c>
      <c r="I55" s="763" t="str">
        <f>IF(DEMANDE_Calendrier_Tournée!I57="","",DEMANDE_Calendrier_Tournée!I57)</f>
        <v/>
      </c>
      <c r="J55" s="763" t="str">
        <f>IF(DEMANDE_Calendrier_Tournée!J57="","",DEMANDE_Calendrier_Tournée!J57)</f>
        <v/>
      </c>
      <c r="K55" s="765" t="str">
        <f>IF(DEMANDE_Calendrier_Tournée!K57="","",DEMANDE_Calendrier_Tournée!K57)</f>
        <v/>
      </c>
      <c r="L55" s="765"/>
      <c r="M55" s="766" t="str">
        <f>IF(DEMANDE_Calendrier_Tournée!L57="","",DEMANDE_Calendrier_Tournée!L57)</f>
        <v/>
      </c>
      <c r="N55" s="766" t="str">
        <f>IF(DEMANDE_Calendrier_Tournée!M57="","",DEMANDE_Calendrier_Tournée!M57)</f>
        <v/>
      </c>
      <c r="O55" s="119"/>
      <c r="Q55" s="453"/>
      <c r="R55" s="263">
        <f t="shared" si="7"/>
        <v>0</v>
      </c>
      <c r="S55" s="263">
        <f t="shared" si="0"/>
        <v>0</v>
      </c>
      <c r="T55" s="263">
        <f t="shared" si="8"/>
        <v>0</v>
      </c>
      <c r="U55" s="263">
        <f t="shared" si="1"/>
        <v>0</v>
      </c>
      <c r="V55" s="263">
        <f t="shared" si="12"/>
        <v>0</v>
      </c>
      <c r="W55" s="263">
        <f>IF(AND(DEMANDE_Calendrier_Tournée!D57&lt;&gt;"",RAPPORT_FINAL_Calendrier!D55=""),-1,0)</f>
        <v>0</v>
      </c>
      <c r="X55" s="423">
        <f t="shared" si="9"/>
        <v>0</v>
      </c>
      <c r="Y55" s="423">
        <f>SUM($X$20:X55)</f>
        <v>0</v>
      </c>
      <c r="Z55" s="454">
        <f t="shared" si="2"/>
        <v>0</v>
      </c>
      <c r="AA55" s="263">
        <f t="shared" si="3"/>
        <v>0</v>
      </c>
      <c r="AB55" s="263">
        <f t="shared" si="4"/>
        <v>0</v>
      </c>
      <c r="AC55" s="454">
        <f t="shared" si="5"/>
        <v>0</v>
      </c>
      <c r="AD55" s="454">
        <f t="shared" si="6"/>
        <v>0</v>
      </c>
      <c r="AE55" s="263">
        <f t="shared" si="10"/>
        <v>0</v>
      </c>
    </row>
    <row r="56" spans="2:31" s="62" customFormat="1" x14ac:dyDescent="0.35">
      <c r="B56" s="118"/>
      <c r="C56" s="451">
        <v>37</v>
      </c>
      <c r="D56" s="762" t="str">
        <f>IF(DEMANDE_Calendrier_Tournée!D58="","",DEMANDE_Calendrier_Tournée!D58)</f>
        <v/>
      </c>
      <c r="E56" s="763" t="str">
        <f>IF(DEMANDE_Calendrier_Tournée!E58="","",DEMANDE_Calendrier_Tournée!E58)</f>
        <v/>
      </c>
      <c r="F56" s="764" t="str">
        <f>IF(DEMANDE_Calendrier_Tournée!F58="","",DEMANDE_Calendrier_Tournée!F58)</f>
        <v/>
      </c>
      <c r="G56" s="763" t="str">
        <f>IF(DEMANDE_Calendrier_Tournée!G58="","",DEMANDE_Calendrier_Tournée!G58)</f>
        <v/>
      </c>
      <c r="H56" s="764" t="str">
        <f>IF(DEMANDE_Calendrier_Tournée!H58="","",DEMANDE_Calendrier_Tournée!H58)</f>
        <v/>
      </c>
      <c r="I56" s="763" t="str">
        <f>IF(DEMANDE_Calendrier_Tournée!I58="","",DEMANDE_Calendrier_Tournée!I58)</f>
        <v/>
      </c>
      <c r="J56" s="763" t="str">
        <f>IF(DEMANDE_Calendrier_Tournée!J58="","",DEMANDE_Calendrier_Tournée!J58)</f>
        <v/>
      </c>
      <c r="K56" s="765" t="str">
        <f>IF(DEMANDE_Calendrier_Tournée!K58="","",DEMANDE_Calendrier_Tournée!K58)</f>
        <v/>
      </c>
      <c r="L56" s="765"/>
      <c r="M56" s="766" t="str">
        <f>IF(DEMANDE_Calendrier_Tournée!L58="","",DEMANDE_Calendrier_Tournée!L58)</f>
        <v/>
      </c>
      <c r="N56" s="766" t="str">
        <f>IF(DEMANDE_Calendrier_Tournée!M58="","",DEMANDE_Calendrier_Tournée!M58)</f>
        <v/>
      </c>
      <c r="O56" s="119"/>
      <c r="Q56" s="453"/>
      <c r="R56" s="263">
        <f t="shared" si="7"/>
        <v>0</v>
      </c>
      <c r="S56" s="263">
        <f t="shared" si="0"/>
        <v>0</v>
      </c>
      <c r="T56" s="263">
        <f t="shared" si="8"/>
        <v>0</v>
      </c>
      <c r="U56" s="263">
        <f t="shared" si="1"/>
        <v>0</v>
      </c>
      <c r="V56" s="263">
        <f t="shared" si="12"/>
        <v>0</v>
      </c>
      <c r="W56" s="263">
        <f>IF(AND(DEMANDE_Calendrier_Tournée!D58&lt;&gt;"",RAPPORT_FINAL_Calendrier!D56=""),-1,0)</f>
        <v>0</v>
      </c>
      <c r="X56" s="423">
        <f t="shared" si="9"/>
        <v>0</v>
      </c>
      <c r="Y56" s="423">
        <f>SUM($X$20:X56)</f>
        <v>0</v>
      </c>
      <c r="Z56" s="454">
        <f t="shared" si="2"/>
        <v>0</v>
      </c>
      <c r="AA56" s="263">
        <f t="shared" si="3"/>
        <v>0</v>
      </c>
      <c r="AB56" s="263">
        <f t="shared" si="4"/>
        <v>0</v>
      </c>
      <c r="AC56" s="454">
        <f t="shared" si="5"/>
        <v>0</v>
      </c>
      <c r="AD56" s="454">
        <f t="shared" si="6"/>
        <v>0</v>
      </c>
      <c r="AE56" s="263">
        <f t="shared" si="10"/>
        <v>0</v>
      </c>
    </row>
    <row r="57" spans="2:31" s="62" customFormat="1" x14ac:dyDescent="0.35">
      <c r="B57" s="118"/>
      <c r="C57" s="451">
        <v>38</v>
      </c>
      <c r="D57" s="762" t="str">
        <f>IF(DEMANDE_Calendrier_Tournée!D59="","",DEMANDE_Calendrier_Tournée!D59)</f>
        <v/>
      </c>
      <c r="E57" s="763" t="str">
        <f>IF(DEMANDE_Calendrier_Tournée!E59="","",DEMANDE_Calendrier_Tournée!E59)</f>
        <v/>
      </c>
      <c r="F57" s="764" t="str">
        <f>IF(DEMANDE_Calendrier_Tournée!F59="","",DEMANDE_Calendrier_Tournée!F59)</f>
        <v/>
      </c>
      <c r="G57" s="763" t="str">
        <f>IF(DEMANDE_Calendrier_Tournée!G59="","",DEMANDE_Calendrier_Tournée!G59)</f>
        <v/>
      </c>
      <c r="H57" s="764" t="str">
        <f>IF(DEMANDE_Calendrier_Tournée!H59="","",DEMANDE_Calendrier_Tournée!H59)</f>
        <v/>
      </c>
      <c r="I57" s="763" t="str">
        <f>IF(DEMANDE_Calendrier_Tournée!I59="","",DEMANDE_Calendrier_Tournée!I59)</f>
        <v/>
      </c>
      <c r="J57" s="763" t="str">
        <f>IF(DEMANDE_Calendrier_Tournée!J59="","",DEMANDE_Calendrier_Tournée!J59)</f>
        <v/>
      </c>
      <c r="K57" s="765" t="str">
        <f>IF(DEMANDE_Calendrier_Tournée!K59="","",DEMANDE_Calendrier_Tournée!K59)</f>
        <v/>
      </c>
      <c r="L57" s="765"/>
      <c r="M57" s="766" t="str">
        <f>IF(DEMANDE_Calendrier_Tournée!L59="","",DEMANDE_Calendrier_Tournée!L59)</f>
        <v/>
      </c>
      <c r="N57" s="766" t="str">
        <f>IF(DEMANDE_Calendrier_Tournée!M59="","",DEMANDE_Calendrier_Tournée!M59)</f>
        <v/>
      </c>
      <c r="O57" s="119"/>
      <c r="Q57" s="453"/>
      <c r="R57" s="263">
        <f t="shared" si="7"/>
        <v>0</v>
      </c>
      <c r="S57" s="263">
        <f t="shared" si="0"/>
        <v>0</v>
      </c>
      <c r="T57" s="263">
        <f t="shared" si="8"/>
        <v>0</v>
      </c>
      <c r="U57" s="263">
        <f t="shared" si="1"/>
        <v>0</v>
      </c>
      <c r="V57" s="263">
        <f t="shared" si="12"/>
        <v>0</v>
      </c>
      <c r="W57" s="263">
        <f>IF(AND(DEMANDE_Calendrier_Tournée!D59&lt;&gt;"",RAPPORT_FINAL_Calendrier!D57=""),-1,0)</f>
        <v>0</v>
      </c>
      <c r="X57" s="423">
        <f t="shared" si="9"/>
        <v>0</v>
      </c>
      <c r="Y57" s="423">
        <f>SUM($X$20:X57)</f>
        <v>0</v>
      </c>
      <c r="Z57" s="454">
        <f t="shared" si="2"/>
        <v>0</v>
      </c>
      <c r="AA57" s="263">
        <f t="shared" si="3"/>
        <v>0</v>
      </c>
      <c r="AB57" s="263">
        <f t="shared" si="4"/>
        <v>0</v>
      </c>
      <c r="AC57" s="454">
        <f t="shared" si="5"/>
        <v>0</v>
      </c>
      <c r="AD57" s="454">
        <f t="shared" si="6"/>
        <v>0</v>
      </c>
      <c r="AE57" s="263">
        <f t="shared" si="10"/>
        <v>0</v>
      </c>
    </row>
    <row r="58" spans="2:31" s="62" customFormat="1" x14ac:dyDescent="0.35">
      <c r="B58" s="118"/>
      <c r="C58" s="451">
        <v>39</v>
      </c>
      <c r="D58" s="762" t="str">
        <f>IF(DEMANDE_Calendrier_Tournée!D60="","",DEMANDE_Calendrier_Tournée!D60)</f>
        <v/>
      </c>
      <c r="E58" s="763" t="str">
        <f>IF(DEMANDE_Calendrier_Tournée!E60="","",DEMANDE_Calendrier_Tournée!E60)</f>
        <v/>
      </c>
      <c r="F58" s="764" t="str">
        <f>IF(DEMANDE_Calendrier_Tournée!F60="","",DEMANDE_Calendrier_Tournée!F60)</f>
        <v/>
      </c>
      <c r="G58" s="763" t="str">
        <f>IF(DEMANDE_Calendrier_Tournée!G60="","",DEMANDE_Calendrier_Tournée!G60)</f>
        <v/>
      </c>
      <c r="H58" s="764" t="str">
        <f>IF(DEMANDE_Calendrier_Tournée!H60="","",DEMANDE_Calendrier_Tournée!H60)</f>
        <v/>
      </c>
      <c r="I58" s="763" t="str">
        <f>IF(DEMANDE_Calendrier_Tournée!I60="","",DEMANDE_Calendrier_Tournée!I60)</f>
        <v/>
      </c>
      <c r="J58" s="763" t="str">
        <f>IF(DEMANDE_Calendrier_Tournée!J60="","",DEMANDE_Calendrier_Tournée!J60)</f>
        <v/>
      </c>
      <c r="K58" s="765" t="str">
        <f>IF(DEMANDE_Calendrier_Tournée!K60="","",DEMANDE_Calendrier_Tournée!K60)</f>
        <v/>
      </c>
      <c r="L58" s="765"/>
      <c r="M58" s="766" t="str">
        <f>IF(DEMANDE_Calendrier_Tournée!L60="","",DEMANDE_Calendrier_Tournée!L60)</f>
        <v/>
      </c>
      <c r="N58" s="766" t="str">
        <f>IF(DEMANDE_Calendrier_Tournée!M60="","",DEMANDE_Calendrier_Tournée!M60)</f>
        <v/>
      </c>
      <c r="O58" s="119"/>
      <c r="Q58" s="453"/>
      <c r="R58" s="263">
        <f t="shared" si="7"/>
        <v>0</v>
      </c>
      <c r="S58" s="263">
        <f t="shared" si="0"/>
        <v>0</v>
      </c>
      <c r="T58" s="263">
        <f t="shared" si="8"/>
        <v>0</v>
      </c>
      <c r="U58" s="263">
        <f t="shared" si="1"/>
        <v>0</v>
      </c>
      <c r="V58" s="263">
        <f t="shared" si="12"/>
        <v>0</v>
      </c>
      <c r="W58" s="263">
        <f>IF(AND(DEMANDE_Calendrier_Tournée!D60&lt;&gt;"",RAPPORT_FINAL_Calendrier!D58=""),-1,0)</f>
        <v>0</v>
      </c>
      <c r="X58" s="423">
        <f t="shared" si="9"/>
        <v>0</v>
      </c>
      <c r="Y58" s="423">
        <f>SUM($X$20:X58)</f>
        <v>0</v>
      </c>
      <c r="Z58" s="454">
        <f t="shared" si="2"/>
        <v>0</v>
      </c>
      <c r="AA58" s="263">
        <f t="shared" si="3"/>
        <v>0</v>
      </c>
      <c r="AB58" s="263">
        <f t="shared" si="4"/>
        <v>0</v>
      </c>
      <c r="AC58" s="454">
        <f t="shared" si="5"/>
        <v>0</v>
      </c>
      <c r="AD58" s="454">
        <f t="shared" si="6"/>
        <v>0</v>
      </c>
      <c r="AE58" s="263">
        <f t="shared" si="10"/>
        <v>0</v>
      </c>
    </row>
    <row r="59" spans="2:31" s="62" customFormat="1" x14ac:dyDescent="0.35">
      <c r="B59" s="118"/>
      <c r="C59" s="451">
        <v>40</v>
      </c>
      <c r="D59" s="762" t="str">
        <f>IF(DEMANDE_Calendrier_Tournée!D61="","",DEMANDE_Calendrier_Tournée!D61)</f>
        <v/>
      </c>
      <c r="E59" s="763" t="str">
        <f>IF(DEMANDE_Calendrier_Tournée!E61="","",DEMANDE_Calendrier_Tournée!E61)</f>
        <v/>
      </c>
      <c r="F59" s="764" t="str">
        <f>IF(DEMANDE_Calendrier_Tournée!F61="","",DEMANDE_Calendrier_Tournée!F61)</f>
        <v/>
      </c>
      <c r="G59" s="763" t="str">
        <f>IF(DEMANDE_Calendrier_Tournée!G61="","",DEMANDE_Calendrier_Tournée!G61)</f>
        <v/>
      </c>
      <c r="H59" s="764" t="str">
        <f>IF(DEMANDE_Calendrier_Tournée!H61="","",DEMANDE_Calendrier_Tournée!H61)</f>
        <v/>
      </c>
      <c r="I59" s="763" t="str">
        <f>IF(DEMANDE_Calendrier_Tournée!I61="","",DEMANDE_Calendrier_Tournée!I61)</f>
        <v/>
      </c>
      <c r="J59" s="763" t="str">
        <f>IF(DEMANDE_Calendrier_Tournée!J61="","",DEMANDE_Calendrier_Tournée!J61)</f>
        <v/>
      </c>
      <c r="K59" s="765" t="str">
        <f>IF(DEMANDE_Calendrier_Tournée!K61="","",DEMANDE_Calendrier_Tournée!K61)</f>
        <v/>
      </c>
      <c r="L59" s="765"/>
      <c r="M59" s="766" t="str">
        <f>IF(DEMANDE_Calendrier_Tournée!L61="","",DEMANDE_Calendrier_Tournée!L61)</f>
        <v/>
      </c>
      <c r="N59" s="766" t="str">
        <f>IF(DEMANDE_Calendrier_Tournée!M61="","",DEMANDE_Calendrier_Tournée!M61)</f>
        <v/>
      </c>
      <c r="O59" s="119"/>
      <c r="Q59" s="453"/>
      <c r="R59" s="263">
        <f t="shared" si="7"/>
        <v>0</v>
      </c>
      <c r="S59" s="263">
        <f t="shared" si="0"/>
        <v>0</v>
      </c>
      <c r="T59" s="263">
        <f t="shared" si="8"/>
        <v>0</v>
      </c>
      <c r="U59" s="263">
        <f t="shared" si="1"/>
        <v>0</v>
      </c>
      <c r="V59" s="263">
        <f t="shared" si="12"/>
        <v>0</v>
      </c>
      <c r="W59" s="263">
        <f>IF(AND(DEMANDE_Calendrier_Tournée!D61&lt;&gt;"",RAPPORT_FINAL_Calendrier!D59=""),-1,0)</f>
        <v>0</v>
      </c>
      <c r="X59" s="423">
        <f t="shared" si="9"/>
        <v>0</v>
      </c>
      <c r="Y59" s="423">
        <f>SUM($X$20:X59)</f>
        <v>0</v>
      </c>
      <c r="Z59" s="454">
        <f t="shared" si="2"/>
        <v>0</v>
      </c>
      <c r="AA59" s="263">
        <f t="shared" si="3"/>
        <v>0</v>
      </c>
      <c r="AB59" s="263">
        <f t="shared" si="4"/>
        <v>0</v>
      </c>
      <c r="AC59" s="454">
        <f t="shared" si="5"/>
        <v>0</v>
      </c>
      <c r="AD59" s="454">
        <f t="shared" si="6"/>
        <v>0</v>
      </c>
      <c r="AE59" s="263">
        <f t="shared" si="10"/>
        <v>0</v>
      </c>
    </row>
    <row r="60" spans="2:31" s="62" customFormat="1" x14ac:dyDescent="0.35">
      <c r="B60" s="118"/>
      <c r="C60" s="451">
        <v>41</v>
      </c>
      <c r="D60" s="762" t="str">
        <f>IF(DEMANDE_Calendrier_Tournée!D62="","",DEMANDE_Calendrier_Tournée!D62)</f>
        <v/>
      </c>
      <c r="E60" s="763" t="str">
        <f>IF(DEMANDE_Calendrier_Tournée!E62="","",DEMANDE_Calendrier_Tournée!E62)</f>
        <v/>
      </c>
      <c r="F60" s="764" t="str">
        <f>IF(DEMANDE_Calendrier_Tournée!F62="","",DEMANDE_Calendrier_Tournée!F62)</f>
        <v/>
      </c>
      <c r="G60" s="763" t="str">
        <f>IF(DEMANDE_Calendrier_Tournée!G62="","",DEMANDE_Calendrier_Tournée!G62)</f>
        <v/>
      </c>
      <c r="H60" s="764" t="str">
        <f>IF(DEMANDE_Calendrier_Tournée!H62="","",DEMANDE_Calendrier_Tournée!H62)</f>
        <v/>
      </c>
      <c r="I60" s="763" t="str">
        <f>IF(DEMANDE_Calendrier_Tournée!I62="","",DEMANDE_Calendrier_Tournée!I62)</f>
        <v/>
      </c>
      <c r="J60" s="763" t="str">
        <f>IF(DEMANDE_Calendrier_Tournée!J62="","",DEMANDE_Calendrier_Tournée!J62)</f>
        <v/>
      </c>
      <c r="K60" s="765" t="str">
        <f>IF(DEMANDE_Calendrier_Tournée!K62="","",DEMANDE_Calendrier_Tournée!K62)</f>
        <v/>
      </c>
      <c r="L60" s="765"/>
      <c r="M60" s="766" t="str">
        <f>IF(DEMANDE_Calendrier_Tournée!L62="","",DEMANDE_Calendrier_Tournée!L62)</f>
        <v/>
      </c>
      <c r="N60" s="766" t="str">
        <f>IF(DEMANDE_Calendrier_Tournée!M62="","",DEMANDE_Calendrier_Tournée!M62)</f>
        <v/>
      </c>
      <c r="O60" s="119"/>
      <c r="Q60" s="453"/>
      <c r="R60" s="263">
        <f t="shared" si="7"/>
        <v>0</v>
      </c>
      <c r="S60" s="263">
        <f t="shared" si="0"/>
        <v>0</v>
      </c>
      <c r="T60" s="263">
        <f t="shared" si="8"/>
        <v>0</v>
      </c>
      <c r="U60" s="263">
        <f t="shared" si="1"/>
        <v>0</v>
      </c>
      <c r="V60" s="263">
        <f t="shared" si="12"/>
        <v>0</v>
      </c>
      <c r="W60" s="263">
        <f>IF(AND(DEMANDE_Calendrier_Tournée!D62&lt;&gt;"",RAPPORT_FINAL_Calendrier!D60=""),-1,0)</f>
        <v>0</v>
      </c>
      <c r="X60" s="423">
        <f t="shared" si="9"/>
        <v>0</v>
      </c>
      <c r="Y60" s="423">
        <f>SUM($X$20:X60)</f>
        <v>0</v>
      </c>
      <c r="Z60" s="454">
        <f t="shared" si="2"/>
        <v>0</v>
      </c>
      <c r="AA60" s="263">
        <f t="shared" si="3"/>
        <v>0</v>
      </c>
      <c r="AB60" s="263">
        <f t="shared" si="4"/>
        <v>0</v>
      </c>
      <c r="AC60" s="454">
        <f t="shared" si="5"/>
        <v>0</v>
      </c>
      <c r="AD60" s="454">
        <f t="shared" si="6"/>
        <v>0</v>
      </c>
      <c r="AE60" s="263">
        <f t="shared" si="10"/>
        <v>0</v>
      </c>
    </row>
    <row r="61" spans="2:31" s="62" customFormat="1" x14ac:dyDescent="0.35">
      <c r="B61" s="118"/>
      <c r="C61" s="451">
        <v>42</v>
      </c>
      <c r="D61" s="762" t="str">
        <f>IF(DEMANDE_Calendrier_Tournée!D63="","",DEMANDE_Calendrier_Tournée!D63)</f>
        <v/>
      </c>
      <c r="E61" s="763" t="str">
        <f>IF(DEMANDE_Calendrier_Tournée!E63="","",DEMANDE_Calendrier_Tournée!E63)</f>
        <v/>
      </c>
      <c r="F61" s="764" t="str">
        <f>IF(DEMANDE_Calendrier_Tournée!F63="","",DEMANDE_Calendrier_Tournée!F63)</f>
        <v/>
      </c>
      <c r="G61" s="763" t="str">
        <f>IF(DEMANDE_Calendrier_Tournée!G63="","",DEMANDE_Calendrier_Tournée!G63)</f>
        <v/>
      </c>
      <c r="H61" s="764" t="str">
        <f>IF(DEMANDE_Calendrier_Tournée!H63="","",DEMANDE_Calendrier_Tournée!H63)</f>
        <v/>
      </c>
      <c r="I61" s="763" t="str">
        <f>IF(DEMANDE_Calendrier_Tournée!I63="","",DEMANDE_Calendrier_Tournée!I63)</f>
        <v/>
      </c>
      <c r="J61" s="763" t="str">
        <f>IF(DEMANDE_Calendrier_Tournée!J63="","",DEMANDE_Calendrier_Tournée!J63)</f>
        <v/>
      </c>
      <c r="K61" s="765" t="str">
        <f>IF(DEMANDE_Calendrier_Tournée!K63="","",DEMANDE_Calendrier_Tournée!K63)</f>
        <v/>
      </c>
      <c r="L61" s="765"/>
      <c r="M61" s="766" t="str">
        <f>IF(DEMANDE_Calendrier_Tournée!L63="","",DEMANDE_Calendrier_Tournée!L63)</f>
        <v/>
      </c>
      <c r="N61" s="766" t="str">
        <f>IF(DEMANDE_Calendrier_Tournée!M63="","",DEMANDE_Calendrier_Tournée!M63)</f>
        <v/>
      </c>
      <c r="O61" s="119"/>
      <c r="Q61" s="453"/>
      <c r="R61" s="263">
        <f t="shared" si="7"/>
        <v>0</v>
      </c>
      <c r="S61" s="263">
        <f t="shared" si="0"/>
        <v>0</v>
      </c>
      <c r="T61" s="263">
        <f t="shared" si="8"/>
        <v>0</v>
      </c>
      <c r="U61" s="263">
        <f t="shared" si="1"/>
        <v>0</v>
      </c>
      <c r="V61" s="263">
        <f t="shared" si="12"/>
        <v>0</v>
      </c>
      <c r="W61" s="263">
        <f>IF(AND(DEMANDE_Calendrier_Tournée!D63&lt;&gt;"",RAPPORT_FINAL_Calendrier!D61=""),-1,0)</f>
        <v>0</v>
      </c>
      <c r="X61" s="423">
        <f t="shared" si="9"/>
        <v>0</v>
      </c>
      <c r="Y61" s="423">
        <f>SUM($X$20:X61)</f>
        <v>0</v>
      </c>
      <c r="Z61" s="454">
        <f t="shared" si="2"/>
        <v>0</v>
      </c>
      <c r="AA61" s="263">
        <f t="shared" si="3"/>
        <v>0</v>
      </c>
      <c r="AB61" s="263">
        <f t="shared" si="4"/>
        <v>0</v>
      </c>
      <c r="AC61" s="454">
        <f t="shared" si="5"/>
        <v>0</v>
      </c>
      <c r="AD61" s="454">
        <f t="shared" si="6"/>
        <v>0</v>
      </c>
      <c r="AE61" s="263">
        <f t="shared" si="10"/>
        <v>0</v>
      </c>
    </row>
    <row r="62" spans="2:31" s="62" customFormat="1" x14ac:dyDescent="0.35">
      <c r="B62" s="118"/>
      <c r="C62" s="451">
        <v>43</v>
      </c>
      <c r="D62" s="762" t="str">
        <f>IF(DEMANDE_Calendrier_Tournée!D64="","",DEMANDE_Calendrier_Tournée!D64)</f>
        <v/>
      </c>
      <c r="E62" s="763" t="str">
        <f>IF(DEMANDE_Calendrier_Tournée!E64="","",DEMANDE_Calendrier_Tournée!E64)</f>
        <v/>
      </c>
      <c r="F62" s="764" t="str">
        <f>IF(DEMANDE_Calendrier_Tournée!F64="","",DEMANDE_Calendrier_Tournée!F64)</f>
        <v/>
      </c>
      <c r="G62" s="763" t="str">
        <f>IF(DEMANDE_Calendrier_Tournée!G64="","",DEMANDE_Calendrier_Tournée!G64)</f>
        <v/>
      </c>
      <c r="H62" s="764" t="str">
        <f>IF(DEMANDE_Calendrier_Tournée!H64="","",DEMANDE_Calendrier_Tournée!H64)</f>
        <v/>
      </c>
      <c r="I62" s="763" t="str">
        <f>IF(DEMANDE_Calendrier_Tournée!I64="","",DEMANDE_Calendrier_Tournée!I64)</f>
        <v/>
      </c>
      <c r="J62" s="763" t="str">
        <f>IF(DEMANDE_Calendrier_Tournée!J64="","",DEMANDE_Calendrier_Tournée!J64)</f>
        <v/>
      </c>
      <c r="K62" s="765" t="str">
        <f>IF(DEMANDE_Calendrier_Tournée!K64="","",DEMANDE_Calendrier_Tournée!K64)</f>
        <v/>
      </c>
      <c r="L62" s="765"/>
      <c r="M62" s="766" t="str">
        <f>IF(DEMANDE_Calendrier_Tournée!L64="","",DEMANDE_Calendrier_Tournée!L64)</f>
        <v/>
      </c>
      <c r="N62" s="766" t="str">
        <f>IF(DEMANDE_Calendrier_Tournée!M64="","",DEMANDE_Calendrier_Tournée!M64)</f>
        <v/>
      </c>
      <c r="O62" s="119"/>
      <c r="Q62" s="453"/>
      <c r="R62" s="263">
        <f t="shared" si="7"/>
        <v>0</v>
      </c>
      <c r="S62" s="263">
        <f t="shared" si="0"/>
        <v>0</v>
      </c>
      <c r="T62" s="263">
        <f t="shared" si="8"/>
        <v>0</v>
      </c>
      <c r="U62" s="263">
        <f t="shared" si="1"/>
        <v>0</v>
      </c>
      <c r="V62" s="263">
        <f t="shared" si="12"/>
        <v>0</v>
      </c>
      <c r="W62" s="263">
        <f>IF(AND(DEMANDE_Calendrier_Tournée!D64&lt;&gt;"",RAPPORT_FINAL_Calendrier!D62=""),-1,0)</f>
        <v>0</v>
      </c>
      <c r="X62" s="423">
        <f t="shared" si="9"/>
        <v>0</v>
      </c>
      <c r="Y62" s="423">
        <f>SUM($X$20:X62)</f>
        <v>0</v>
      </c>
      <c r="Z62" s="454">
        <f t="shared" si="2"/>
        <v>0</v>
      </c>
      <c r="AA62" s="263">
        <f t="shared" si="3"/>
        <v>0</v>
      </c>
      <c r="AB62" s="263">
        <f t="shared" si="4"/>
        <v>0</v>
      </c>
      <c r="AC62" s="454">
        <f t="shared" si="5"/>
        <v>0</v>
      </c>
      <c r="AD62" s="454">
        <f t="shared" si="6"/>
        <v>0</v>
      </c>
      <c r="AE62" s="263">
        <f t="shared" si="10"/>
        <v>0</v>
      </c>
    </row>
    <row r="63" spans="2:31" s="62" customFormat="1" x14ac:dyDescent="0.35">
      <c r="B63" s="118"/>
      <c r="C63" s="451">
        <v>44</v>
      </c>
      <c r="D63" s="762" t="str">
        <f>IF(DEMANDE_Calendrier_Tournée!D65="","",DEMANDE_Calendrier_Tournée!D65)</f>
        <v/>
      </c>
      <c r="E63" s="763" t="str">
        <f>IF(DEMANDE_Calendrier_Tournée!E65="","",DEMANDE_Calendrier_Tournée!E65)</f>
        <v/>
      </c>
      <c r="F63" s="764" t="str">
        <f>IF(DEMANDE_Calendrier_Tournée!F65="","",DEMANDE_Calendrier_Tournée!F65)</f>
        <v/>
      </c>
      <c r="G63" s="763" t="str">
        <f>IF(DEMANDE_Calendrier_Tournée!G65="","",DEMANDE_Calendrier_Tournée!G65)</f>
        <v/>
      </c>
      <c r="H63" s="764" t="str">
        <f>IF(DEMANDE_Calendrier_Tournée!H65="","",DEMANDE_Calendrier_Tournée!H65)</f>
        <v/>
      </c>
      <c r="I63" s="763" t="str">
        <f>IF(DEMANDE_Calendrier_Tournée!I65="","",DEMANDE_Calendrier_Tournée!I65)</f>
        <v/>
      </c>
      <c r="J63" s="763" t="str">
        <f>IF(DEMANDE_Calendrier_Tournée!J65="","",DEMANDE_Calendrier_Tournée!J65)</f>
        <v/>
      </c>
      <c r="K63" s="765" t="str">
        <f>IF(DEMANDE_Calendrier_Tournée!K65="","",DEMANDE_Calendrier_Tournée!K65)</f>
        <v/>
      </c>
      <c r="L63" s="765"/>
      <c r="M63" s="766" t="str">
        <f>IF(DEMANDE_Calendrier_Tournée!L65="","",DEMANDE_Calendrier_Tournée!L65)</f>
        <v/>
      </c>
      <c r="N63" s="766" t="str">
        <f>IF(DEMANDE_Calendrier_Tournée!M65="","",DEMANDE_Calendrier_Tournée!M65)</f>
        <v/>
      </c>
      <c r="O63" s="119"/>
      <c r="Q63" s="453"/>
      <c r="R63" s="263">
        <f t="shared" si="7"/>
        <v>0</v>
      </c>
      <c r="S63" s="263">
        <f t="shared" si="0"/>
        <v>0</v>
      </c>
      <c r="T63" s="263">
        <f t="shared" si="8"/>
        <v>0</v>
      </c>
      <c r="U63" s="263">
        <f t="shared" si="1"/>
        <v>0</v>
      </c>
      <c r="V63" s="263">
        <f t="shared" si="12"/>
        <v>0</v>
      </c>
      <c r="W63" s="263">
        <f>IF(AND(DEMANDE_Calendrier_Tournée!D65&lt;&gt;"",RAPPORT_FINAL_Calendrier!D63=""),-1,0)</f>
        <v>0</v>
      </c>
      <c r="X63" s="423">
        <f t="shared" si="9"/>
        <v>0</v>
      </c>
      <c r="Y63" s="423">
        <f>SUM($X$20:X63)</f>
        <v>0</v>
      </c>
      <c r="Z63" s="454">
        <f t="shared" si="2"/>
        <v>0</v>
      </c>
      <c r="AA63" s="263">
        <f t="shared" si="3"/>
        <v>0</v>
      </c>
      <c r="AB63" s="263">
        <f t="shared" si="4"/>
        <v>0</v>
      </c>
      <c r="AC63" s="454">
        <f t="shared" si="5"/>
        <v>0</v>
      </c>
      <c r="AD63" s="454">
        <f t="shared" si="6"/>
        <v>0</v>
      </c>
      <c r="AE63" s="263">
        <f t="shared" si="10"/>
        <v>0</v>
      </c>
    </row>
    <row r="64" spans="2:31" s="62" customFormat="1" x14ac:dyDescent="0.35">
      <c r="B64" s="118"/>
      <c r="C64" s="451">
        <v>45</v>
      </c>
      <c r="D64" s="762" t="str">
        <f>IF(DEMANDE_Calendrier_Tournée!D66="","",DEMANDE_Calendrier_Tournée!D66)</f>
        <v/>
      </c>
      <c r="E64" s="763" t="str">
        <f>IF(DEMANDE_Calendrier_Tournée!E66="","",DEMANDE_Calendrier_Tournée!E66)</f>
        <v/>
      </c>
      <c r="F64" s="764" t="str">
        <f>IF(DEMANDE_Calendrier_Tournée!F66="","",DEMANDE_Calendrier_Tournée!F66)</f>
        <v/>
      </c>
      <c r="G64" s="763" t="str">
        <f>IF(DEMANDE_Calendrier_Tournée!G66="","",DEMANDE_Calendrier_Tournée!G66)</f>
        <v/>
      </c>
      <c r="H64" s="764" t="str">
        <f>IF(DEMANDE_Calendrier_Tournée!H66="","",DEMANDE_Calendrier_Tournée!H66)</f>
        <v/>
      </c>
      <c r="I64" s="763" t="str">
        <f>IF(DEMANDE_Calendrier_Tournée!I66="","",DEMANDE_Calendrier_Tournée!I66)</f>
        <v/>
      </c>
      <c r="J64" s="763" t="str">
        <f>IF(DEMANDE_Calendrier_Tournée!J66="","",DEMANDE_Calendrier_Tournée!J66)</f>
        <v/>
      </c>
      <c r="K64" s="765" t="str">
        <f>IF(DEMANDE_Calendrier_Tournée!K66="","",DEMANDE_Calendrier_Tournée!K66)</f>
        <v/>
      </c>
      <c r="L64" s="765"/>
      <c r="M64" s="766" t="str">
        <f>IF(DEMANDE_Calendrier_Tournée!L66="","",DEMANDE_Calendrier_Tournée!L66)</f>
        <v/>
      </c>
      <c r="N64" s="766" t="str">
        <f>IF(DEMANDE_Calendrier_Tournée!M66="","",DEMANDE_Calendrier_Tournée!M66)</f>
        <v/>
      </c>
      <c r="O64" s="119"/>
      <c r="Q64" s="453"/>
      <c r="R64" s="263">
        <f t="shared" si="7"/>
        <v>0</v>
      </c>
      <c r="S64" s="263">
        <f t="shared" si="0"/>
        <v>0</v>
      </c>
      <c r="T64" s="263">
        <f t="shared" si="8"/>
        <v>0</v>
      </c>
      <c r="U64" s="263">
        <f t="shared" si="1"/>
        <v>0</v>
      </c>
      <c r="V64" s="263">
        <f t="shared" si="12"/>
        <v>0</v>
      </c>
      <c r="W64" s="263">
        <f>IF(AND(DEMANDE_Calendrier_Tournée!D66&lt;&gt;"",RAPPORT_FINAL_Calendrier!D64=""),-1,0)</f>
        <v>0</v>
      </c>
      <c r="X64" s="423">
        <f t="shared" si="9"/>
        <v>0</v>
      </c>
      <c r="Y64" s="423">
        <f>SUM($X$20:X64)</f>
        <v>0</v>
      </c>
      <c r="Z64" s="454">
        <f t="shared" si="2"/>
        <v>0</v>
      </c>
      <c r="AA64" s="263">
        <f t="shared" si="3"/>
        <v>0</v>
      </c>
      <c r="AB64" s="263">
        <f t="shared" si="4"/>
        <v>0</v>
      </c>
      <c r="AC64" s="454">
        <f t="shared" si="5"/>
        <v>0</v>
      </c>
      <c r="AD64" s="454">
        <f t="shared" si="6"/>
        <v>0</v>
      </c>
      <c r="AE64" s="263">
        <f t="shared" si="10"/>
        <v>0</v>
      </c>
    </row>
    <row r="65" spans="2:31" s="62" customFormat="1" x14ac:dyDescent="0.35">
      <c r="B65" s="118"/>
      <c r="C65" s="451">
        <v>46</v>
      </c>
      <c r="D65" s="762" t="str">
        <f>IF(DEMANDE_Calendrier_Tournée!D67="","",DEMANDE_Calendrier_Tournée!D67)</f>
        <v/>
      </c>
      <c r="E65" s="763" t="str">
        <f>IF(DEMANDE_Calendrier_Tournée!E67="","",DEMANDE_Calendrier_Tournée!E67)</f>
        <v/>
      </c>
      <c r="F65" s="764" t="str">
        <f>IF(DEMANDE_Calendrier_Tournée!F67="","",DEMANDE_Calendrier_Tournée!F67)</f>
        <v/>
      </c>
      <c r="G65" s="763" t="str">
        <f>IF(DEMANDE_Calendrier_Tournée!G67="","",DEMANDE_Calendrier_Tournée!G67)</f>
        <v/>
      </c>
      <c r="H65" s="764" t="str">
        <f>IF(DEMANDE_Calendrier_Tournée!H67="","",DEMANDE_Calendrier_Tournée!H67)</f>
        <v/>
      </c>
      <c r="I65" s="763" t="str">
        <f>IF(DEMANDE_Calendrier_Tournée!I67="","",DEMANDE_Calendrier_Tournée!I67)</f>
        <v/>
      </c>
      <c r="J65" s="763" t="str">
        <f>IF(DEMANDE_Calendrier_Tournée!J67="","",DEMANDE_Calendrier_Tournée!J67)</f>
        <v/>
      </c>
      <c r="K65" s="765" t="str">
        <f>IF(DEMANDE_Calendrier_Tournée!K67="","",DEMANDE_Calendrier_Tournée!K67)</f>
        <v/>
      </c>
      <c r="L65" s="765"/>
      <c r="M65" s="766" t="str">
        <f>IF(DEMANDE_Calendrier_Tournée!L67="","",DEMANDE_Calendrier_Tournée!L67)</f>
        <v/>
      </c>
      <c r="N65" s="766" t="str">
        <f>IF(DEMANDE_Calendrier_Tournée!M67="","",DEMANDE_Calendrier_Tournée!M67)</f>
        <v/>
      </c>
      <c r="O65" s="119"/>
      <c r="Q65" s="453"/>
      <c r="R65" s="263">
        <f t="shared" si="7"/>
        <v>0</v>
      </c>
      <c r="S65" s="263">
        <f t="shared" si="0"/>
        <v>0</v>
      </c>
      <c r="T65" s="263">
        <f t="shared" si="8"/>
        <v>0</v>
      </c>
      <c r="U65" s="263">
        <f t="shared" si="1"/>
        <v>0</v>
      </c>
      <c r="V65" s="263">
        <f t="shared" si="12"/>
        <v>0</v>
      </c>
      <c r="W65" s="263">
        <f>IF(AND(DEMANDE_Calendrier_Tournée!D67&lt;&gt;"",RAPPORT_FINAL_Calendrier!D65=""),-1,0)</f>
        <v>0</v>
      </c>
      <c r="X65" s="423">
        <f t="shared" si="9"/>
        <v>0</v>
      </c>
      <c r="Y65" s="423">
        <f>SUM($X$20:X65)</f>
        <v>0</v>
      </c>
      <c r="Z65" s="454">
        <f t="shared" si="2"/>
        <v>0</v>
      </c>
      <c r="AA65" s="263">
        <f t="shared" si="3"/>
        <v>0</v>
      </c>
      <c r="AB65" s="263">
        <f t="shared" si="4"/>
        <v>0</v>
      </c>
      <c r="AC65" s="454">
        <f t="shared" si="5"/>
        <v>0</v>
      </c>
      <c r="AD65" s="454">
        <f t="shared" si="6"/>
        <v>0</v>
      </c>
      <c r="AE65" s="263">
        <f t="shared" si="10"/>
        <v>0</v>
      </c>
    </row>
    <row r="66" spans="2:31" s="62" customFormat="1" x14ac:dyDescent="0.35">
      <c r="B66" s="118"/>
      <c r="C66" s="451">
        <v>47</v>
      </c>
      <c r="D66" s="762" t="str">
        <f>IF(DEMANDE_Calendrier_Tournée!D68="","",DEMANDE_Calendrier_Tournée!D68)</f>
        <v/>
      </c>
      <c r="E66" s="763" t="str">
        <f>IF(DEMANDE_Calendrier_Tournée!E68="","",DEMANDE_Calendrier_Tournée!E68)</f>
        <v/>
      </c>
      <c r="F66" s="764" t="str">
        <f>IF(DEMANDE_Calendrier_Tournée!F68="","",DEMANDE_Calendrier_Tournée!F68)</f>
        <v/>
      </c>
      <c r="G66" s="763" t="str">
        <f>IF(DEMANDE_Calendrier_Tournée!G68="","",DEMANDE_Calendrier_Tournée!G68)</f>
        <v/>
      </c>
      <c r="H66" s="764" t="str">
        <f>IF(DEMANDE_Calendrier_Tournée!H68="","",DEMANDE_Calendrier_Tournée!H68)</f>
        <v/>
      </c>
      <c r="I66" s="763" t="str">
        <f>IF(DEMANDE_Calendrier_Tournée!I68="","",DEMANDE_Calendrier_Tournée!I68)</f>
        <v/>
      </c>
      <c r="J66" s="763" t="str">
        <f>IF(DEMANDE_Calendrier_Tournée!J68="","",DEMANDE_Calendrier_Tournée!J68)</f>
        <v/>
      </c>
      <c r="K66" s="765" t="str">
        <f>IF(DEMANDE_Calendrier_Tournée!K68="","",DEMANDE_Calendrier_Tournée!K68)</f>
        <v/>
      </c>
      <c r="L66" s="765"/>
      <c r="M66" s="766" t="str">
        <f>IF(DEMANDE_Calendrier_Tournée!L68="","",DEMANDE_Calendrier_Tournée!L68)</f>
        <v/>
      </c>
      <c r="N66" s="766" t="str">
        <f>IF(DEMANDE_Calendrier_Tournée!M68="","",DEMANDE_Calendrier_Tournée!M68)</f>
        <v/>
      </c>
      <c r="O66" s="119"/>
      <c r="Q66" s="453"/>
      <c r="R66" s="263">
        <f t="shared" si="7"/>
        <v>0</v>
      </c>
      <c r="S66" s="263">
        <f t="shared" si="0"/>
        <v>0</v>
      </c>
      <c r="T66" s="263">
        <f t="shared" si="8"/>
        <v>0</v>
      </c>
      <c r="U66" s="263">
        <f t="shared" si="1"/>
        <v>0</v>
      </c>
      <c r="V66" s="263">
        <f t="shared" si="12"/>
        <v>0</v>
      </c>
      <c r="W66" s="263">
        <f>IF(AND(DEMANDE_Calendrier_Tournée!D68&lt;&gt;"",RAPPORT_FINAL_Calendrier!D66=""),-1,0)</f>
        <v>0</v>
      </c>
      <c r="X66" s="423">
        <f t="shared" si="9"/>
        <v>0</v>
      </c>
      <c r="Y66" s="423">
        <f>SUM($X$20:X66)</f>
        <v>0</v>
      </c>
      <c r="Z66" s="454">
        <f t="shared" si="2"/>
        <v>0</v>
      </c>
      <c r="AA66" s="263">
        <f t="shared" si="3"/>
        <v>0</v>
      </c>
      <c r="AB66" s="263">
        <f t="shared" si="4"/>
        <v>0</v>
      </c>
      <c r="AC66" s="454">
        <f t="shared" si="5"/>
        <v>0</v>
      </c>
      <c r="AD66" s="454">
        <f t="shared" si="6"/>
        <v>0</v>
      </c>
      <c r="AE66" s="263">
        <f t="shared" si="10"/>
        <v>0</v>
      </c>
    </row>
    <row r="67" spans="2:31" s="62" customFormat="1" x14ac:dyDescent="0.35">
      <c r="B67" s="118"/>
      <c r="C67" s="451">
        <v>48</v>
      </c>
      <c r="D67" s="762" t="str">
        <f>IF(DEMANDE_Calendrier_Tournée!D69="","",DEMANDE_Calendrier_Tournée!D69)</f>
        <v/>
      </c>
      <c r="E67" s="763" t="str">
        <f>IF(DEMANDE_Calendrier_Tournée!E69="","",DEMANDE_Calendrier_Tournée!E69)</f>
        <v/>
      </c>
      <c r="F67" s="764" t="str">
        <f>IF(DEMANDE_Calendrier_Tournée!F69="","",DEMANDE_Calendrier_Tournée!F69)</f>
        <v/>
      </c>
      <c r="G67" s="763" t="str">
        <f>IF(DEMANDE_Calendrier_Tournée!G69="","",DEMANDE_Calendrier_Tournée!G69)</f>
        <v/>
      </c>
      <c r="H67" s="764" t="str">
        <f>IF(DEMANDE_Calendrier_Tournée!H69="","",DEMANDE_Calendrier_Tournée!H69)</f>
        <v/>
      </c>
      <c r="I67" s="763" t="str">
        <f>IF(DEMANDE_Calendrier_Tournée!I69="","",DEMANDE_Calendrier_Tournée!I69)</f>
        <v/>
      </c>
      <c r="J67" s="763" t="str">
        <f>IF(DEMANDE_Calendrier_Tournée!J69="","",DEMANDE_Calendrier_Tournée!J69)</f>
        <v/>
      </c>
      <c r="K67" s="765" t="str">
        <f>IF(DEMANDE_Calendrier_Tournée!K69="","",DEMANDE_Calendrier_Tournée!K69)</f>
        <v/>
      </c>
      <c r="L67" s="765"/>
      <c r="M67" s="766" t="str">
        <f>IF(DEMANDE_Calendrier_Tournée!L69="","",DEMANDE_Calendrier_Tournée!L69)</f>
        <v/>
      </c>
      <c r="N67" s="766" t="str">
        <f>IF(DEMANDE_Calendrier_Tournée!M69="","",DEMANDE_Calendrier_Tournée!M69)</f>
        <v/>
      </c>
      <c r="O67" s="119"/>
      <c r="Q67" s="453"/>
      <c r="R67" s="263">
        <f t="shared" si="7"/>
        <v>0</v>
      </c>
      <c r="S67" s="263">
        <f t="shared" si="0"/>
        <v>0</v>
      </c>
      <c r="T67" s="263">
        <f t="shared" si="8"/>
        <v>0</v>
      </c>
      <c r="U67" s="263">
        <f t="shared" si="1"/>
        <v>0</v>
      </c>
      <c r="V67" s="263">
        <f t="shared" si="12"/>
        <v>0</v>
      </c>
      <c r="W67" s="263">
        <f>IF(AND(DEMANDE_Calendrier_Tournée!D69&lt;&gt;"",RAPPORT_FINAL_Calendrier!D67=""),-1,0)</f>
        <v>0</v>
      </c>
      <c r="X67" s="423">
        <f t="shared" si="9"/>
        <v>0</v>
      </c>
      <c r="Y67" s="423">
        <f>SUM($X$20:X67)</f>
        <v>0</v>
      </c>
      <c r="Z67" s="454">
        <f t="shared" si="2"/>
        <v>0</v>
      </c>
      <c r="AA67" s="263">
        <f t="shared" si="3"/>
        <v>0</v>
      </c>
      <c r="AB67" s="263">
        <f t="shared" si="4"/>
        <v>0</v>
      </c>
      <c r="AC67" s="454">
        <f t="shared" si="5"/>
        <v>0</v>
      </c>
      <c r="AD67" s="454">
        <f t="shared" si="6"/>
        <v>0</v>
      </c>
      <c r="AE67" s="263">
        <f t="shared" si="10"/>
        <v>0</v>
      </c>
    </row>
    <row r="68" spans="2:31" s="62" customFormat="1" x14ac:dyDescent="0.35">
      <c r="B68" s="118"/>
      <c r="C68" s="451">
        <v>49</v>
      </c>
      <c r="D68" s="762" t="str">
        <f>IF(DEMANDE_Calendrier_Tournée!D70="","",DEMANDE_Calendrier_Tournée!D70)</f>
        <v/>
      </c>
      <c r="E68" s="763" t="str">
        <f>IF(DEMANDE_Calendrier_Tournée!E70="","",DEMANDE_Calendrier_Tournée!E70)</f>
        <v/>
      </c>
      <c r="F68" s="764" t="str">
        <f>IF(DEMANDE_Calendrier_Tournée!F70="","",DEMANDE_Calendrier_Tournée!F70)</f>
        <v/>
      </c>
      <c r="G68" s="763" t="str">
        <f>IF(DEMANDE_Calendrier_Tournée!G70="","",DEMANDE_Calendrier_Tournée!G70)</f>
        <v/>
      </c>
      <c r="H68" s="764" t="str">
        <f>IF(DEMANDE_Calendrier_Tournée!H70="","",DEMANDE_Calendrier_Tournée!H70)</f>
        <v/>
      </c>
      <c r="I68" s="763" t="str">
        <f>IF(DEMANDE_Calendrier_Tournée!I70="","",DEMANDE_Calendrier_Tournée!I70)</f>
        <v/>
      </c>
      <c r="J68" s="763" t="str">
        <f>IF(DEMANDE_Calendrier_Tournée!J70="","",DEMANDE_Calendrier_Tournée!J70)</f>
        <v/>
      </c>
      <c r="K68" s="765" t="str">
        <f>IF(DEMANDE_Calendrier_Tournée!K70="","",DEMANDE_Calendrier_Tournée!K70)</f>
        <v/>
      </c>
      <c r="L68" s="765"/>
      <c r="M68" s="766" t="str">
        <f>IF(DEMANDE_Calendrier_Tournée!L70="","",DEMANDE_Calendrier_Tournée!L70)</f>
        <v/>
      </c>
      <c r="N68" s="766" t="str">
        <f>IF(DEMANDE_Calendrier_Tournée!M70="","",DEMANDE_Calendrier_Tournée!M70)</f>
        <v/>
      </c>
      <c r="O68" s="119"/>
      <c r="Q68" s="453"/>
      <c r="R68" s="263">
        <f t="shared" si="7"/>
        <v>0</v>
      </c>
      <c r="S68" s="263">
        <f t="shared" si="0"/>
        <v>0</v>
      </c>
      <c r="T68" s="263">
        <f t="shared" si="8"/>
        <v>0</v>
      </c>
      <c r="U68" s="263">
        <f t="shared" si="1"/>
        <v>0</v>
      </c>
      <c r="V68" s="263">
        <f t="shared" si="12"/>
        <v>0</v>
      </c>
      <c r="W68" s="263">
        <f>IF(AND(DEMANDE_Calendrier_Tournée!D70&lt;&gt;"",RAPPORT_FINAL_Calendrier!D68=""),-1,0)</f>
        <v>0</v>
      </c>
      <c r="X68" s="423">
        <f t="shared" si="9"/>
        <v>0</v>
      </c>
      <c r="Y68" s="423">
        <f>SUM($X$20:X68)</f>
        <v>0</v>
      </c>
      <c r="Z68" s="454">
        <f t="shared" si="2"/>
        <v>0</v>
      </c>
      <c r="AA68" s="263">
        <f t="shared" si="3"/>
        <v>0</v>
      </c>
      <c r="AB68" s="263">
        <f t="shared" si="4"/>
        <v>0</v>
      </c>
      <c r="AC68" s="454">
        <f t="shared" si="5"/>
        <v>0</v>
      </c>
      <c r="AD68" s="454">
        <f t="shared" si="6"/>
        <v>0</v>
      </c>
      <c r="AE68" s="263">
        <f t="shared" si="10"/>
        <v>0</v>
      </c>
    </row>
    <row r="69" spans="2:31" s="62" customFormat="1" ht="14.5" thickBot="1" x14ac:dyDescent="0.4">
      <c r="B69" s="118"/>
      <c r="C69" s="690">
        <v>50</v>
      </c>
      <c r="D69" s="767" t="str">
        <f>IF(DEMANDE_Calendrier_Tournée!D71="","",DEMANDE_Calendrier_Tournée!D71)</f>
        <v/>
      </c>
      <c r="E69" s="768" t="str">
        <f>IF(DEMANDE_Calendrier_Tournée!E71="","",DEMANDE_Calendrier_Tournée!E71)</f>
        <v/>
      </c>
      <c r="F69" s="769" t="str">
        <f>IF(DEMANDE_Calendrier_Tournée!F71="","",DEMANDE_Calendrier_Tournée!F71)</f>
        <v/>
      </c>
      <c r="G69" s="768" t="str">
        <f>IF(DEMANDE_Calendrier_Tournée!G71="","",DEMANDE_Calendrier_Tournée!G71)</f>
        <v/>
      </c>
      <c r="H69" s="769" t="str">
        <f>IF(DEMANDE_Calendrier_Tournée!H71="","",DEMANDE_Calendrier_Tournée!H71)</f>
        <v/>
      </c>
      <c r="I69" s="768"/>
      <c r="J69" s="768" t="str">
        <f>IF(DEMANDE_Calendrier_Tournée!J71="","",DEMANDE_Calendrier_Tournée!J71)</f>
        <v/>
      </c>
      <c r="K69" s="770" t="str">
        <f>IF(DEMANDE_Calendrier_Tournée!K71="","",DEMANDE_Calendrier_Tournée!K71)</f>
        <v/>
      </c>
      <c r="L69" s="770"/>
      <c r="M69" s="771" t="str">
        <f>IF(DEMANDE_Calendrier_Tournée!L71="","",DEMANDE_Calendrier_Tournée!L71)</f>
        <v/>
      </c>
      <c r="N69" s="771" t="str">
        <f>IF(DEMANDE_Calendrier_Tournée!M71="","",DEMANDE_Calendrier_Tournée!M71)</f>
        <v/>
      </c>
      <c r="O69" s="119"/>
      <c r="Q69" s="453"/>
      <c r="R69" s="263">
        <f t="shared" si="7"/>
        <v>0</v>
      </c>
      <c r="S69" s="263">
        <f t="shared" si="0"/>
        <v>0</v>
      </c>
      <c r="T69" s="263">
        <f t="shared" si="8"/>
        <v>0</v>
      </c>
      <c r="U69" s="263">
        <f t="shared" si="1"/>
        <v>0</v>
      </c>
      <c r="V69" s="263">
        <f t="shared" si="12"/>
        <v>0</v>
      </c>
      <c r="W69" s="263">
        <f>IF(AND(DEMANDE_Calendrier_Tournée!D71&lt;&gt;"",RAPPORT_FINAL_Calendrier!D69=""),-1,0)</f>
        <v>0</v>
      </c>
      <c r="X69" s="423">
        <f t="shared" si="9"/>
        <v>0</v>
      </c>
      <c r="Y69" s="423">
        <f>SUM($X$20:X69)</f>
        <v>0</v>
      </c>
      <c r="Z69" s="454">
        <f t="shared" si="2"/>
        <v>0</v>
      </c>
      <c r="AA69" s="263">
        <f t="shared" si="3"/>
        <v>0</v>
      </c>
      <c r="AB69" s="263">
        <f t="shared" si="4"/>
        <v>0</v>
      </c>
      <c r="AC69" s="454">
        <f t="shared" si="5"/>
        <v>0</v>
      </c>
      <c r="AD69" s="454">
        <f t="shared" si="6"/>
        <v>0</v>
      </c>
      <c r="AE69" s="263">
        <f t="shared" si="10"/>
        <v>0</v>
      </c>
    </row>
    <row r="70" spans="2:31" s="62" customFormat="1" ht="18" customHeight="1" thickBot="1" x14ac:dyDescent="0.4">
      <c r="B70" s="118"/>
      <c r="C70" s="1046" t="s">
        <v>387</v>
      </c>
      <c r="D70" s="1047"/>
      <c r="E70" s="1047"/>
      <c r="F70" s="1047"/>
      <c r="G70" s="1047"/>
      <c r="H70" s="1047"/>
      <c r="I70" s="1047"/>
      <c r="J70" s="1047"/>
      <c r="K70" s="696">
        <f>SUM(K20:K69)</f>
        <v>0</v>
      </c>
      <c r="L70" s="696">
        <f>SUM(L20:L69)</f>
        <v>0</v>
      </c>
      <c r="M70" s="714">
        <f>SUM(M20:M69)</f>
        <v>0</v>
      </c>
      <c r="N70" s="715">
        <f>SUM(N20:N69)</f>
        <v>0</v>
      </c>
      <c r="O70" s="119"/>
      <c r="Q70" s="657" t="s">
        <v>66</v>
      </c>
      <c r="R70" s="263"/>
      <c r="S70" s="263"/>
      <c r="T70" s="263"/>
      <c r="U70" s="263"/>
      <c r="V70" s="263"/>
      <c r="W70" s="263"/>
      <c r="X70" s="423"/>
      <c r="Y70" s="423"/>
      <c r="Z70" s="456"/>
      <c r="AA70" s="263"/>
      <c r="AB70" s="263"/>
      <c r="AC70" s="456"/>
      <c r="AD70" s="456"/>
      <c r="AE70" s="348"/>
    </row>
    <row r="71" spans="2:31" ht="10" customHeight="1" thickBot="1" x14ac:dyDescent="0.35">
      <c r="B71" s="193"/>
      <c r="C71" s="458"/>
      <c r="D71" s="458"/>
      <c r="E71" s="459"/>
      <c r="F71" s="460"/>
      <c r="G71" s="459"/>
      <c r="H71" s="459"/>
      <c r="I71" s="459"/>
      <c r="J71" s="461"/>
      <c r="K71" s="460"/>
      <c r="L71" s="460"/>
      <c r="M71" s="459"/>
      <c r="N71" s="459"/>
      <c r="O71" s="382"/>
      <c r="X71" s="462"/>
      <c r="Y71" s="462"/>
    </row>
    <row r="72" spans="2:31" x14ac:dyDescent="0.3">
      <c r="V72" s="463" t="s">
        <v>479</v>
      </c>
      <c r="W72" s="463"/>
      <c r="X72" s="429">
        <f>IF(SUM(X20:X69)&gt;30,30,(SUM(X20:X69)))</f>
        <v>0</v>
      </c>
      <c r="Y72" s="464"/>
      <c r="AA72" s="464">
        <f>SUM(AA20:AA71)</f>
        <v>0</v>
      </c>
      <c r="AB72" s="464">
        <f>IF(Y77=1,(SUM(AB20:AB69)+Y77),SUM(AB20:AB69))</f>
        <v>0</v>
      </c>
      <c r="AC72" s="465">
        <f>SUM(AC20:AC69)</f>
        <v>0</v>
      </c>
      <c r="AD72" s="465">
        <f>SUM(AD20:AD69)</f>
        <v>0</v>
      </c>
      <c r="AE72" s="429">
        <f>SUM(AE20:AE71)</f>
        <v>0</v>
      </c>
    </row>
    <row r="73" spans="2:31" x14ac:dyDescent="0.3">
      <c r="K73" s="466"/>
      <c r="L73" s="466"/>
      <c r="M73" s="467"/>
      <c r="N73" s="467"/>
      <c r="V73" s="463" t="s">
        <v>492</v>
      </c>
      <c r="W73" s="463"/>
      <c r="X73" s="429">
        <f>SUM(X20:X69)</f>
        <v>0</v>
      </c>
      <c r="Y73" s="429"/>
    </row>
    <row r="74" spans="2:31" x14ac:dyDescent="0.3">
      <c r="V74" s="463" t="s">
        <v>490</v>
      </c>
      <c r="W74" s="463"/>
      <c r="X74" s="429">
        <f>+AA72</f>
        <v>0</v>
      </c>
    </row>
    <row r="75" spans="2:31" ht="15.5" customHeight="1" x14ac:dyDescent="0.3">
      <c r="V75" s="463" t="s">
        <v>491</v>
      </c>
      <c r="W75" s="463"/>
      <c r="X75" s="429">
        <f>+AB72</f>
        <v>0</v>
      </c>
    </row>
    <row r="77" spans="2:31" x14ac:dyDescent="0.3">
      <c r="R77" s="463" t="s">
        <v>418</v>
      </c>
      <c r="S77" s="468">
        <f>MIN(M20:M69)</f>
        <v>0</v>
      </c>
      <c r="V77" s="463" t="s">
        <v>493</v>
      </c>
      <c r="W77" s="463"/>
      <c r="X77" s="429" t="str">
        <f>IFERROR(VLOOKUP(30,Y20:Y69,1,FALSE),"non trouvé")</f>
        <v>non trouvé</v>
      </c>
      <c r="Y77" s="429">
        <f>IF(D20="",0,IF(X73&lt;=30,0,IF(X77="non trouvé",1,0)))</f>
        <v>0</v>
      </c>
    </row>
    <row r="78" spans="2:31" x14ac:dyDescent="0.3">
      <c r="R78" s="463" t="s">
        <v>419</v>
      </c>
      <c r="S78" s="468">
        <f>MAX(M20:M69)</f>
        <v>0</v>
      </c>
    </row>
    <row r="80" spans="2:31" ht="26" customHeight="1" x14ac:dyDescent="0.3">
      <c r="C80" s="1108" t="s">
        <v>553</v>
      </c>
      <c r="D80" s="1109"/>
      <c r="E80" s="1109"/>
      <c r="F80" s="1109"/>
      <c r="G80" s="1109"/>
      <c r="H80" s="1109"/>
      <c r="I80" s="1109"/>
      <c r="J80" s="1109"/>
      <c r="K80" s="1109"/>
      <c r="L80" s="1109"/>
      <c r="M80" s="1109"/>
      <c r="N80" s="1110"/>
    </row>
    <row r="81" spans="3:31" ht="95" x14ac:dyDescent="0.3">
      <c r="C81" s="593"/>
      <c r="D81" s="593" t="s">
        <v>590</v>
      </c>
      <c r="E81" s="594" t="s">
        <v>476</v>
      </c>
      <c r="F81" s="595" t="s">
        <v>449</v>
      </c>
      <c r="G81" s="596" t="s">
        <v>378</v>
      </c>
      <c r="H81" s="597" t="s">
        <v>379</v>
      </c>
      <c r="I81" s="598" t="s">
        <v>31</v>
      </c>
      <c r="J81" s="596" t="s">
        <v>592</v>
      </c>
      <c r="K81" s="594" t="s">
        <v>562</v>
      </c>
      <c r="L81" s="594" t="s">
        <v>498</v>
      </c>
      <c r="M81" s="594" t="s">
        <v>846</v>
      </c>
      <c r="N81" s="594" t="s">
        <v>847</v>
      </c>
      <c r="R81" s="1107" t="str">
        <f>IF(F20="","",IF(COUNTIF(F20:F69,"oui")&gt;COUNTIF(F20:F69,"non"),"La tournée est constituée majoritairement de premières parties",IF(COUNTIF(F20:F69,"oui")=COUNTIF(F20:F69,"non"),"La tournée est constituée majoritairement de premières parties","La tournée n'est pas constituée majoritairement de premières parties")))</f>
        <v/>
      </c>
      <c r="S81" s="1107"/>
      <c r="T81" s="1107"/>
      <c r="U81" s="1107"/>
      <c r="V81" s="1107"/>
      <c r="W81" s="1107"/>
      <c r="X81" s="1107"/>
      <c r="Y81" s="1107"/>
    </row>
    <row r="82" spans="3:31" x14ac:dyDescent="0.3">
      <c r="C82" s="451">
        <v>1</v>
      </c>
      <c r="D82" s="655"/>
      <c r="E82" s="33"/>
      <c r="F82" s="34"/>
      <c r="G82" s="35"/>
      <c r="H82" s="34"/>
      <c r="I82" s="33"/>
      <c r="J82" s="33"/>
      <c r="K82" s="16"/>
      <c r="L82" s="16"/>
      <c r="M82" s="36"/>
      <c r="N82" s="36"/>
      <c r="R82" s="263"/>
      <c r="S82" s="263">
        <f t="shared" ref="S82" si="13">IF(D82="",0,1)</f>
        <v>0</v>
      </c>
      <c r="T82" s="263"/>
      <c r="U82" s="263"/>
      <c r="V82" s="263">
        <f>IF(D82="",0,IF(D82=D81,-1,0))</f>
        <v>0</v>
      </c>
      <c r="W82" s="263"/>
      <c r="X82" s="423">
        <f>SUM(S82+V82)</f>
        <v>0</v>
      </c>
      <c r="Y82" s="423">
        <f>+$Y$69+X82</f>
        <v>0</v>
      </c>
      <c r="Z82" s="454">
        <f t="shared" ref="Z82" si="14">IF(H82="oui",80,IF(H82="non",140,0))</f>
        <v>0</v>
      </c>
      <c r="AA82" s="263">
        <f>IF(AND(H82="oui",Y82&lt;=30),X82,0)</f>
        <v>0</v>
      </c>
      <c r="AB82" s="263">
        <f>IF(AND(H82="non",Y82&lt;=30),SUM(S82,V82),IF(AND(H82="oui",Y82&lt;=30),0,0))</f>
        <v>0</v>
      </c>
      <c r="AC82" s="454">
        <f>IF(H82="oui",(Z82*X82),0)</f>
        <v>0</v>
      </c>
      <c r="AD82" s="454">
        <f>IF(H82="non",(X82*Z82),0)</f>
        <v>0</v>
      </c>
      <c r="AE82" s="263">
        <f>IF(OR(D82="",E82=""),0,IF(D82=D81,0,1))</f>
        <v>0</v>
      </c>
    </row>
    <row r="83" spans="3:31" x14ac:dyDescent="0.3">
      <c r="C83" s="451">
        <v>2</v>
      </c>
      <c r="D83" s="655"/>
      <c r="E83" s="33"/>
      <c r="F83" s="34"/>
      <c r="G83" s="35"/>
      <c r="H83" s="34"/>
      <c r="I83" s="33"/>
      <c r="J83" s="33"/>
      <c r="K83" s="16"/>
      <c r="L83" s="16"/>
      <c r="M83" s="36"/>
      <c r="N83" s="36"/>
      <c r="R83" s="263"/>
      <c r="S83" s="263">
        <f t="shared" ref="S83:S91" si="15">IF(D83="",0,1)</f>
        <v>0</v>
      </c>
      <c r="T83" s="263"/>
      <c r="U83" s="263"/>
      <c r="V83" s="263">
        <f t="shared" ref="V83:V91" si="16">IF(D83="",0,IF(D83=D82,-1,0))</f>
        <v>0</v>
      </c>
      <c r="W83" s="263"/>
      <c r="X83" s="423">
        <f t="shared" ref="X83:X91" si="17">SUM(S83+V83)</f>
        <v>0</v>
      </c>
      <c r="Y83" s="423">
        <f>+Y82+X83</f>
        <v>0</v>
      </c>
      <c r="Z83" s="454">
        <f t="shared" ref="Z83:Z91" si="18">IF(H83="oui",80,IF(H83="non",140,0))</f>
        <v>0</v>
      </c>
      <c r="AA83" s="263">
        <f t="shared" ref="AA83:AA91" si="19">IF(AND(H83="oui",Y83&lt;=30),X83,0)</f>
        <v>0</v>
      </c>
      <c r="AB83" s="263">
        <f t="shared" ref="AB83:AB91" si="20">IF(AND(H83="non",Y83&lt;=30),SUM(S83,V83),IF(AND(H83="oui",Y83&lt;=30),0,0))</f>
        <v>0</v>
      </c>
      <c r="AC83" s="454">
        <f t="shared" ref="AC83:AC91" si="21">IF(H83="oui",(Z83*X83),0)</f>
        <v>0</v>
      </c>
      <c r="AD83" s="454">
        <f t="shared" ref="AD83:AD91" si="22">IF(H83="non",(X83*Z83),0)</f>
        <v>0</v>
      </c>
      <c r="AE83" s="263">
        <f t="shared" ref="AE83:AE91" si="23">IF(OR(D83="",E83=""),0,IF(D83=D82,0,1))</f>
        <v>0</v>
      </c>
    </row>
    <row r="84" spans="3:31" x14ac:dyDescent="0.3">
      <c r="C84" s="451">
        <v>3</v>
      </c>
      <c r="D84" s="655"/>
      <c r="E84" s="33"/>
      <c r="F84" s="34"/>
      <c r="G84" s="35"/>
      <c r="H84" s="34"/>
      <c r="I84" s="33"/>
      <c r="J84" s="33"/>
      <c r="K84" s="16"/>
      <c r="L84" s="16"/>
      <c r="M84" s="36"/>
      <c r="N84" s="36"/>
      <c r="R84" s="263"/>
      <c r="S84" s="263">
        <f t="shared" si="15"/>
        <v>0</v>
      </c>
      <c r="T84" s="263"/>
      <c r="U84" s="263"/>
      <c r="V84" s="263">
        <f t="shared" si="16"/>
        <v>0</v>
      </c>
      <c r="W84" s="263"/>
      <c r="X84" s="423">
        <f t="shared" si="17"/>
        <v>0</v>
      </c>
      <c r="Y84" s="423">
        <f t="shared" ref="Y84:Y91" si="24">+Y83+X84</f>
        <v>0</v>
      </c>
      <c r="Z84" s="454">
        <f t="shared" si="18"/>
        <v>0</v>
      </c>
      <c r="AA84" s="263">
        <f t="shared" si="19"/>
        <v>0</v>
      </c>
      <c r="AB84" s="263">
        <f t="shared" si="20"/>
        <v>0</v>
      </c>
      <c r="AC84" s="454">
        <f t="shared" si="21"/>
        <v>0</v>
      </c>
      <c r="AD84" s="454">
        <f t="shared" si="22"/>
        <v>0</v>
      </c>
      <c r="AE84" s="263">
        <f t="shared" si="23"/>
        <v>0</v>
      </c>
    </row>
    <row r="85" spans="3:31" x14ac:dyDescent="0.3">
      <c r="C85" s="451">
        <v>4</v>
      </c>
      <c r="D85" s="655"/>
      <c r="E85" s="33"/>
      <c r="F85" s="34"/>
      <c r="G85" s="35"/>
      <c r="H85" s="34"/>
      <c r="I85" s="33"/>
      <c r="J85" s="33"/>
      <c r="K85" s="16"/>
      <c r="L85" s="16"/>
      <c r="M85" s="36"/>
      <c r="N85" s="36"/>
      <c r="R85" s="263"/>
      <c r="S85" s="263">
        <f t="shared" si="15"/>
        <v>0</v>
      </c>
      <c r="T85" s="263"/>
      <c r="U85" s="263"/>
      <c r="V85" s="263">
        <f t="shared" si="16"/>
        <v>0</v>
      </c>
      <c r="W85" s="263"/>
      <c r="X85" s="423">
        <f t="shared" si="17"/>
        <v>0</v>
      </c>
      <c r="Y85" s="423">
        <f t="shared" si="24"/>
        <v>0</v>
      </c>
      <c r="Z85" s="454">
        <f t="shared" si="18"/>
        <v>0</v>
      </c>
      <c r="AA85" s="263">
        <f t="shared" si="19"/>
        <v>0</v>
      </c>
      <c r="AB85" s="263">
        <f t="shared" si="20"/>
        <v>0</v>
      </c>
      <c r="AC85" s="454">
        <f t="shared" si="21"/>
        <v>0</v>
      </c>
      <c r="AD85" s="454">
        <f t="shared" si="22"/>
        <v>0</v>
      </c>
      <c r="AE85" s="263">
        <f t="shared" si="23"/>
        <v>0</v>
      </c>
    </row>
    <row r="86" spans="3:31" x14ac:dyDescent="0.3">
      <c r="C86" s="451">
        <v>5</v>
      </c>
      <c r="D86" s="655"/>
      <c r="E86" s="33"/>
      <c r="F86" s="34"/>
      <c r="G86" s="35"/>
      <c r="H86" s="34"/>
      <c r="I86" s="33"/>
      <c r="J86" s="33"/>
      <c r="K86" s="16"/>
      <c r="L86" s="16"/>
      <c r="M86" s="36"/>
      <c r="N86" s="36"/>
      <c r="R86" s="263"/>
      <c r="S86" s="263">
        <f t="shared" si="15"/>
        <v>0</v>
      </c>
      <c r="T86" s="263"/>
      <c r="U86" s="263"/>
      <c r="V86" s="263">
        <f t="shared" si="16"/>
        <v>0</v>
      </c>
      <c r="W86" s="263"/>
      <c r="X86" s="423">
        <f t="shared" si="17"/>
        <v>0</v>
      </c>
      <c r="Y86" s="423">
        <f t="shared" si="24"/>
        <v>0</v>
      </c>
      <c r="Z86" s="454">
        <f t="shared" si="18"/>
        <v>0</v>
      </c>
      <c r="AA86" s="263">
        <f t="shared" si="19"/>
        <v>0</v>
      </c>
      <c r="AB86" s="263">
        <f t="shared" si="20"/>
        <v>0</v>
      </c>
      <c r="AC86" s="454">
        <f t="shared" si="21"/>
        <v>0</v>
      </c>
      <c r="AD86" s="454">
        <f t="shared" si="22"/>
        <v>0</v>
      </c>
      <c r="AE86" s="263">
        <f t="shared" si="23"/>
        <v>0</v>
      </c>
    </row>
    <row r="87" spans="3:31" x14ac:dyDescent="0.3">
      <c r="C87" s="451">
        <v>6</v>
      </c>
      <c r="D87" s="655"/>
      <c r="E87" s="33"/>
      <c r="F87" s="34"/>
      <c r="G87" s="35"/>
      <c r="H87" s="34"/>
      <c r="I87" s="33"/>
      <c r="J87" s="33"/>
      <c r="K87" s="16"/>
      <c r="L87" s="16"/>
      <c r="M87" s="36"/>
      <c r="N87" s="36"/>
      <c r="R87" s="263"/>
      <c r="S87" s="263">
        <f t="shared" si="15"/>
        <v>0</v>
      </c>
      <c r="T87" s="263"/>
      <c r="U87" s="263"/>
      <c r="V87" s="263">
        <f t="shared" si="16"/>
        <v>0</v>
      </c>
      <c r="W87" s="263"/>
      <c r="X87" s="423">
        <f t="shared" si="17"/>
        <v>0</v>
      </c>
      <c r="Y87" s="423">
        <f t="shared" si="24"/>
        <v>0</v>
      </c>
      <c r="Z87" s="454">
        <f t="shared" si="18"/>
        <v>0</v>
      </c>
      <c r="AA87" s="263">
        <f t="shared" si="19"/>
        <v>0</v>
      </c>
      <c r="AB87" s="263">
        <f t="shared" si="20"/>
        <v>0</v>
      </c>
      <c r="AC87" s="454">
        <f t="shared" si="21"/>
        <v>0</v>
      </c>
      <c r="AD87" s="454">
        <f t="shared" si="22"/>
        <v>0</v>
      </c>
      <c r="AE87" s="263">
        <f t="shared" si="23"/>
        <v>0</v>
      </c>
    </row>
    <row r="88" spans="3:31" x14ac:dyDescent="0.3">
      <c r="C88" s="451">
        <v>7</v>
      </c>
      <c r="D88" s="655"/>
      <c r="E88" s="33"/>
      <c r="F88" s="34"/>
      <c r="G88" s="35"/>
      <c r="H88" s="34"/>
      <c r="I88" s="33"/>
      <c r="J88" s="33"/>
      <c r="K88" s="16"/>
      <c r="L88" s="16"/>
      <c r="M88" s="36"/>
      <c r="N88" s="36"/>
      <c r="R88" s="263"/>
      <c r="S88" s="263">
        <f t="shared" si="15"/>
        <v>0</v>
      </c>
      <c r="T88" s="263"/>
      <c r="U88" s="263"/>
      <c r="V88" s="263">
        <f t="shared" si="16"/>
        <v>0</v>
      </c>
      <c r="W88" s="263"/>
      <c r="X88" s="423">
        <f t="shared" si="17"/>
        <v>0</v>
      </c>
      <c r="Y88" s="423">
        <f t="shared" si="24"/>
        <v>0</v>
      </c>
      <c r="Z88" s="454">
        <f t="shared" si="18"/>
        <v>0</v>
      </c>
      <c r="AA88" s="263">
        <f t="shared" si="19"/>
        <v>0</v>
      </c>
      <c r="AB88" s="263">
        <f t="shared" si="20"/>
        <v>0</v>
      </c>
      <c r="AC88" s="454">
        <f t="shared" si="21"/>
        <v>0</v>
      </c>
      <c r="AD88" s="454">
        <f t="shared" si="22"/>
        <v>0</v>
      </c>
      <c r="AE88" s="263">
        <f t="shared" si="23"/>
        <v>0</v>
      </c>
    </row>
    <row r="89" spans="3:31" x14ac:dyDescent="0.3">
      <c r="C89" s="451">
        <v>8</v>
      </c>
      <c r="D89" s="655"/>
      <c r="E89" s="33"/>
      <c r="F89" s="34"/>
      <c r="G89" s="35"/>
      <c r="H89" s="34"/>
      <c r="I89" s="33"/>
      <c r="J89" s="33"/>
      <c r="K89" s="16"/>
      <c r="L89" s="16"/>
      <c r="M89" s="36"/>
      <c r="N89" s="36"/>
      <c r="R89" s="263"/>
      <c r="S89" s="263">
        <f t="shared" si="15"/>
        <v>0</v>
      </c>
      <c r="T89" s="263"/>
      <c r="U89" s="263"/>
      <c r="V89" s="263">
        <f t="shared" si="16"/>
        <v>0</v>
      </c>
      <c r="W89" s="263"/>
      <c r="X89" s="423">
        <f t="shared" si="17"/>
        <v>0</v>
      </c>
      <c r="Y89" s="423">
        <f t="shared" si="24"/>
        <v>0</v>
      </c>
      <c r="Z89" s="454">
        <f t="shared" si="18"/>
        <v>0</v>
      </c>
      <c r="AA89" s="263">
        <f t="shared" si="19"/>
        <v>0</v>
      </c>
      <c r="AB89" s="263">
        <f t="shared" si="20"/>
        <v>0</v>
      </c>
      <c r="AC89" s="454">
        <f t="shared" si="21"/>
        <v>0</v>
      </c>
      <c r="AD89" s="454">
        <f t="shared" si="22"/>
        <v>0</v>
      </c>
      <c r="AE89" s="263">
        <f t="shared" si="23"/>
        <v>0</v>
      </c>
    </row>
    <row r="90" spans="3:31" x14ac:dyDescent="0.3">
      <c r="C90" s="451">
        <v>9</v>
      </c>
      <c r="D90" s="655"/>
      <c r="E90" s="33"/>
      <c r="F90" s="34"/>
      <c r="G90" s="35"/>
      <c r="H90" s="34"/>
      <c r="I90" s="33"/>
      <c r="J90" s="33"/>
      <c r="K90" s="16"/>
      <c r="L90" s="16"/>
      <c r="M90" s="36"/>
      <c r="N90" s="36"/>
      <c r="R90" s="263"/>
      <c r="S90" s="263">
        <f t="shared" si="15"/>
        <v>0</v>
      </c>
      <c r="T90" s="263"/>
      <c r="U90" s="263"/>
      <c r="V90" s="263">
        <f t="shared" si="16"/>
        <v>0</v>
      </c>
      <c r="W90" s="263"/>
      <c r="X90" s="423">
        <f t="shared" si="17"/>
        <v>0</v>
      </c>
      <c r="Y90" s="423">
        <f t="shared" si="24"/>
        <v>0</v>
      </c>
      <c r="Z90" s="454">
        <f t="shared" si="18"/>
        <v>0</v>
      </c>
      <c r="AA90" s="263">
        <f t="shared" si="19"/>
        <v>0</v>
      </c>
      <c r="AB90" s="263">
        <f t="shared" si="20"/>
        <v>0</v>
      </c>
      <c r="AC90" s="454">
        <f t="shared" si="21"/>
        <v>0</v>
      </c>
      <c r="AD90" s="454">
        <f t="shared" si="22"/>
        <v>0</v>
      </c>
      <c r="AE90" s="263">
        <f t="shared" si="23"/>
        <v>0</v>
      </c>
    </row>
    <row r="91" spans="3:31" ht="14.5" thickBot="1" x14ac:dyDescent="0.35">
      <c r="C91" s="690">
        <v>10</v>
      </c>
      <c r="D91" s="716"/>
      <c r="E91" s="717"/>
      <c r="F91" s="718"/>
      <c r="G91" s="719"/>
      <c r="H91" s="718"/>
      <c r="I91" s="717"/>
      <c r="J91" s="717"/>
      <c r="K91" s="720"/>
      <c r="L91" s="720"/>
      <c r="M91" s="721"/>
      <c r="N91" s="721"/>
      <c r="R91" s="263"/>
      <c r="S91" s="263">
        <f t="shared" si="15"/>
        <v>0</v>
      </c>
      <c r="T91" s="263"/>
      <c r="U91" s="263"/>
      <c r="V91" s="263">
        <f t="shared" si="16"/>
        <v>0</v>
      </c>
      <c r="W91" s="263"/>
      <c r="X91" s="423">
        <f t="shared" si="17"/>
        <v>0</v>
      </c>
      <c r="Y91" s="423">
        <f t="shared" si="24"/>
        <v>0</v>
      </c>
      <c r="Z91" s="454">
        <f t="shared" si="18"/>
        <v>0</v>
      </c>
      <c r="AA91" s="263">
        <f t="shared" si="19"/>
        <v>0</v>
      </c>
      <c r="AB91" s="263">
        <f t="shared" si="20"/>
        <v>0</v>
      </c>
      <c r="AC91" s="454">
        <f t="shared" si="21"/>
        <v>0</v>
      </c>
      <c r="AD91" s="454">
        <f t="shared" si="22"/>
        <v>0</v>
      </c>
      <c r="AE91" s="263">
        <f t="shared" si="23"/>
        <v>0</v>
      </c>
    </row>
    <row r="92" spans="3:31" ht="18" customHeight="1" thickBot="1" x14ac:dyDescent="0.35">
      <c r="C92" s="1046" t="s">
        <v>387</v>
      </c>
      <c r="D92" s="1047"/>
      <c r="E92" s="1047"/>
      <c r="F92" s="1047"/>
      <c r="G92" s="1047"/>
      <c r="H92" s="1047"/>
      <c r="I92" s="1047"/>
      <c r="J92" s="1106"/>
      <c r="K92" s="696">
        <f>SUM(K82:K91)</f>
        <v>0</v>
      </c>
      <c r="L92" s="696">
        <f>SUM(L82:L91)</f>
        <v>0</v>
      </c>
      <c r="M92" s="714">
        <f>SUM(M82:M91)</f>
        <v>0</v>
      </c>
      <c r="N92" s="715">
        <f>SUM(N82:N91)</f>
        <v>0</v>
      </c>
      <c r="Q92" s="657" t="s">
        <v>66</v>
      </c>
    </row>
    <row r="93" spans="3:31" x14ac:dyDescent="0.3">
      <c r="X93" s="429">
        <f>SUM(X82:X92)</f>
        <v>0</v>
      </c>
      <c r="AA93" s="429">
        <f>SUM(AA82:AA92)</f>
        <v>0</v>
      </c>
      <c r="AB93" s="429">
        <f>SUM(AB82:AB92)</f>
        <v>0</v>
      </c>
      <c r="AC93" s="454">
        <f t="shared" ref="AC93:AE93" si="25">SUM(AC82:AC92)</f>
        <v>0</v>
      </c>
      <c r="AD93" s="454">
        <f t="shared" si="25"/>
        <v>0</v>
      </c>
      <c r="AE93" s="429">
        <f t="shared" si="25"/>
        <v>0</v>
      </c>
    </row>
    <row r="96" spans="3:31" x14ac:dyDescent="0.3">
      <c r="V96" s="463" t="s">
        <v>479</v>
      </c>
      <c r="X96" s="429">
        <f>IF(SUM(X20:X69,X82:X91)&gt;30,30,(SUM(X20:X69,X82:X91)))</f>
        <v>0</v>
      </c>
    </row>
    <row r="97" spans="22:25" x14ac:dyDescent="0.3">
      <c r="V97" s="463" t="s">
        <v>492</v>
      </c>
      <c r="X97" s="429">
        <f>SUM(X20:X69,X82:X91)</f>
        <v>0</v>
      </c>
    </row>
    <row r="98" spans="22:25" x14ac:dyDescent="0.3">
      <c r="V98" s="463" t="s">
        <v>490</v>
      </c>
      <c r="X98" s="429">
        <f>AA72+AA93</f>
        <v>0</v>
      </c>
    </row>
    <row r="99" spans="22:25" x14ac:dyDescent="0.3">
      <c r="V99" s="463" t="s">
        <v>491</v>
      </c>
      <c r="X99" s="429">
        <f>AB72+AB93</f>
        <v>0</v>
      </c>
    </row>
    <row r="100" spans="22:25" x14ac:dyDescent="0.3">
      <c r="X100" s="429"/>
    </row>
    <row r="101" spans="22:25" x14ac:dyDescent="0.3">
      <c r="V101" s="463" t="s">
        <v>493</v>
      </c>
      <c r="X101" s="429" t="str">
        <f>IFERROR(VLOOKUP(30,Y20:Y91,1,FALSE),"non trouvé")</f>
        <v>non trouvé</v>
      </c>
      <c r="Y101" s="428">
        <f>IF(D20="",0,IF(X101="non trouvé",1,0))</f>
        <v>0</v>
      </c>
    </row>
  </sheetData>
  <sheetProtection algorithmName="SHA-512" hashValue="gdqw6x21JvEjMZf2y/B4QMvCXfSHI9Gg0R2yUsQgWr5uD4bTzmjndo9Xje23nO9ditQwye4Zchipjbelq2TAig==" saltValue="L7JYvyQ+u/3NEAn8PsBqXQ==" spinCount="100000" sheet="1" objects="1" scenarios="1" formatRows="0"/>
  <mergeCells count="17">
    <mergeCell ref="E1:O1"/>
    <mergeCell ref="E2:O2"/>
    <mergeCell ref="C70:J70"/>
    <mergeCell ref="C13:N13"/>
    <mergeCell ref="C7:N7"/>
    <mergeCell ref="C9:M9"/>
    <mergeCell ref="C10:N10"/>
    <mergeCell ref="C92:J92"/>
    <mergeCell ref="R81:Y81"/>
    <mergeCell ref="J3:O3"/>
    <mergeCell ref="J4:O4"/>
    <mergeCell ref="C80:N80"/>
    <mergeCell ref="C15:N15"/>
    <mergeCell ref="C16:N16"/>
    <mergeCell ref="C17:N17"/>
    <mergeCell ref="C14:N14"/>
    <mergeCell ref="C12:N12"/>
  </mergeCells>
  <conditionalFormatting sqref="L19">
    <cfRule type="expression" dxfId="28" priority="1">
      <formula>L70=0</formula>
    </cfRule>
  </conditionalFormatting>
  <conditionalFormatting sqref="Q19">
    <cfRule type="containsText" dxfId="27" priority="3" operator="containsText" text="N'oubliez pas d'ajouter l'assistance pour chaque spectacle">
      <formula>NOT(ISERROR(SEARCH("N'oubliez pas d'ajouter l'assistance pour chaque spectacle",Q19)))</formula>
    </cfRule>
  </conditionalFormatting>
  <conditionalFormatting sqref="Q20:Q33 Q35:Q69">
    <cfRule type="containsText" dxfId="26" priority="2" operator="containsText" text="Ne laissez aucune ligne vide entre deux dates">
      <formula>NOT(ISERROR(SEARCH("Ne laissez aucune ligne vide entre deux dates",Q20)))</formula>
    </cfRule>
  </conditionalFormatting>
  <dataValidations count="1">
    <dataValidation type="whole" operator="greaterThan" allowBlank="1" showInputMessage="1" showErrorMessage="1" error="Veuillez entrer un nombre entier sans décimale" sqref="L20:L69 L82:L91" xr:uid="{84EF4B85-4FEC-47C6-87E5-A1B3C7C258BF}">
      <formula1>0</formula1>
    </dataValidation>
  </dataValidations>
  <hyperlinks>
    <hyperlink ref="Q92" location="Rapport_Final!D13" display="accès rapide au rapport final" xr:uid="{D77C3140-E8E6-4851-8EDF-47A3BBAF6E0E}"/>
    <hyperlink ref="C17:N17" location="RAPPORT_FINAL_Équipe_Tournée!C7" display="6. Ensuite, réviser la liste des frais de déplacement aérien et d'hébergement pour l'Équipe de tournée - cliquer ici" xr:uid="{F74E103A-9E6D-415A-A1C4-0368DAAD60AC}"/>
    <hyperlink ref="C12:N12" location="RAPPORT_FINAL_Calendrier!D82" display="1. Au besoin, ajouter les dates de spectacles non prévues au dépôt de la demande dans le tableau ci-dessous - cliquer ici" xr:uid="{4BD48A1D-486E-4453-AD34-F07F23FC52DB}"/>
    <hyperlink ref="C13:N13" location="RAPPORT_FINAL_Calendrier!L20" display="2. Ajouter les chiffres d'assistance pour chaque spectacle cliquer ici" xr:uid="{3D65FBEA-E814-418E-A010-744590995D93}"/>
    <hyperlink ref="Q70" location="Rapport_Final!D15" display="accès rapide au rapport final" xr:uid="{CB25883A-BD62-4171-A0EC-5435E68F26DE}"/>
    <hyperlink ref="Q34" location="Rapport_Final!D14" display="accès rapide au rapport final" xr:uid="{8794989B-119F-4C97-889A-85B582D64F4C}"/>
  </hyperlinks>
  <pageMargins left="0.25" right="0.25" top="0.75" bottom="0.75" header="0.3" footer="0.3"/>
  <pageSetup paperSize="3" scale="90" orientation="landscape" r:id="rId1"/>
  <ignoredErrors>
    <ignoredError sqref="D21:I27 D20:I20 K20 D50:I68 D49:H49 K49:N49 D69:H69 K69:N69 D42:I48 D41:I41 K41:N41 M20:N20 K21:N40 K50:N68 K42:N48 J20:J69 D28:I40"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95EB7BE-EFD8-4B55-9EFF-067C579A04B3}">
          <x14:formula1>
            <xm:f>Paramètres!$A$2:$A$3</xm:f>
          </x14:formula1>
          <xm:sqref>F20:F69 H20:H69 F82:F91 H82:H91</xm:sqref>
        </x14:dataValidation>
        <x14:dataValidation type="list" allowBlank="1" showInputMessage="1" showErrorMessage="1" xr:uid="{E073F71D-877C-4677-AA58-A3697D211ECB}">
          <x14:formula1>
            <xm:f>Paramètres!$G$1:$G$3</xm:f>
          </x14:formula1>
          <xm:sqref>G82:G91 G20:G69</xm:sqref>
        </x14:dataValidation>
        <x14:dataValidation type="list" allowBlank="1" showInputMessage="1" showErrorMessage="1" xr:uid="{C53F47DA-3136-45BF-BF91-FE01707B0591}">
          <x14:formula1>
            <xm:f>Paramètres!$F$2:$F$262</xm:f>
          </x14:formula1>
          <xm:sqref>J82:J91</xm:sqref>
        </x14:dataValidation>
        <x14:dataValidation type="list" allowBlank="1" showInputMessage="1" showErrorMessage="1" xr:uid="{4D942835-6459-4E4E-9C5F-8E3F1DF12536}">
          <x14:formula1>
            <xm:f>Paramètres!$F$2:$F$258</xm:f>
          </x14:formula1>
          <xm:sqref>J20:J69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73B78-06F6-45A2-9516-BDA760CDDD02}">
  <sheetPr>
    <tabColor rgb="FF8FE2FF"/>
    <pageSetUpPr fitToPage="1"/>
  </sheetPr>
  <dimension ref="B1:W39"/>
  <sheetViews>
    <sheetView showGridLines="0" zoomScale="90" zoomScaleNormal="90" workbookViewId="0">
      <selection activeCell="C7" sqref="C7:L7"/>
    </sheetView>
  </sheetViews>
  <sheetFormatPr baseColWidth="10" defaultColWidth="10.81640625" defaultRowHeight="14" x14ac:dyDescent="0.3"/>
  <cols>
    <col min="1" max="1" width="1.54296875" style="1" customWidth="1"/>
    <col min="2" max="2" width="2.54296875" style="1" customWidth="1"/>
    <col min="3" max="3" width="4.90625" style="418" customWidth="1"/>
    <col min="4" max="4" width="28.6328125" style="418" customWidth="1"/>
    <col min="5" max="5" width="28.6328125" style="1" customWidth="1"/>
    <col min="6" max="6" width="10.6328125" style="2" customWidth="1"/>
    <col min="7" max="7" width="14.6328125" style="1" customWidth="1"/>
    <col min="8" max="8" width="19.1796875" style="1" customWidth="1"/>
    <col min="9" max="9" width="16.453125" style="1" customWidth="1"/>
    <col min="10" max="10" width="13.6328125" style="1" customWidth="1"/>
    <col min="11" max="11" width="13.6328125" style="2" customWidth="1"/>
    <col min="12" max="12" width="11.81640625" style="1" customWidth="1"/>
    <col min="13" max="13" width="2.54296875" style="1" customWidth="1"/>
    <col min="14" max="14" width="1.54296875" style="1" customWidth="1"/>
    <col min="15" max="15" width="30.6328125" style="1" customWidth="1"/>
    <col min="16" max="16" width="28.6328125" style="471" hidden="1" customWidth="1"/>
    <col min="17" max="17" width="11.90625" style="229" hidden="1" customWidth="1"/>
    <col min="18" max="18" width="7.81640625" style="229" hidden="1" customWidth="1"/>
    <col min="19" max="20" width="6.81640625" style="229" hidden="1" customWidth="1"/>
    <col min="21" max="16384" width="10.81640625" style="1"/>
  </cols>
  <sheetData>
    <row r="1" spans="2:20" s="62" customFormat="1" ht="36" customHeight="1" x14ac:dyDescent="0.35">
      <c r="C1" s="470"/>
      <c r="D1" s="470"/>
      <c r="E1" s="893" t="s">
        <v>571</v>
      </c>
      <c r="F1" s="893"/>
      <c r="G1" s="893"/>
      <c r="H1" s="893"/>
      <c r="I1" s="893"/>
      <c r="J1" s="893"/>
      <c r="K1" s="893"/>
      <c r="L1" s="893"/>
      <c r="M1" s="893"/>
      <c r="N1" s="303"/>
      <c r="O1" s="303"/>
      <c r="P1" s="1054" t="s">
        <v>408</v>
      </c>
      <c r="Q1" s="1054" t="s">
        <v>408</v>
      </c>
      <c r="R1" s="449"/>
      <c r="S1" s="1054"/>
      <c r="T1" s="449"/>
    </row>
    <row r="2" spans="2:20" s="62" customFormat="1" ht="16" customHeight="1" x14ac:dyDescent="0.35">
      <c r="C2" s="470"/>
      <c r="D2" s="470"/>
      <c r="E2" s="899" t="s">
        <v>87</v>
      </c>
      <c r="F2" s="899"/>
      <c r="G2" s="899"/>
      <c r="H2" s="899"/>
      <c r="I2" s="899"/>
      <c r="J2" s="899"/>
      <c r="K2" s="899"/>
      <c r="L2" s="899"/>
      <c r="M2" s="899"/>
      <c r="P2" s="1054"/>
      <c r="Q2" s="1054"/>
      <c r="R2" s="449"/>
      <c r="S2" s="1054"/>
      <c r="T2" s="449"/>
    </row>
    <row r="3" spans="2:20" s="62" customFormat="1" ht="16" customHeight="1" x14ac:dyDescent="0.35">
      <c r="C3" s="470"/>
      <c r="D3" s="470"/>
      <c r="E3" s="426"/>
      <c r="F3" s="223"/>
      <c r="G3" s="426"/>
      <c r="H3" s="900" t="s">
        <v>382</v>
      </c>
      <c r="I3" s="900"/>
      <c r="J3" s="900"/>
      <c r="K3" s="900"/>
      <c r="L3" s="900"/>
      <c r="M3" s="900"/>
      <c r="P3" s="1054"/>
      <c r="Q3" s="1054"/>
      <c r="R3" s="449"/>
      <c r="S3" s="1054"/>
      <c r="T3" s="449"/>
    </row>
    <row r="4" spans="2:20" s="62" customFormat="1" ht="12" customHeight="1" x14ac:dyDescent="0.35">
      <c r="C4" s="470"/>
      <c r="D4" s="470"/>
      <c r="F4" s="370"/>
      <c r="J4" s="898" t="s">
        <v>858</v>
      </c>
      <c r="K4" s="898"/>
      <c r="L4" s="898"/>
      <c r="M4" s="898"/>
      <c r="P4" s="1054"/>
      <c r="Q4" s="1054"/>
      <c r="R4" s="449"/>
      <c r="S4" s="1054"/>
      <c r="T4" s="449"/>
    </row>
    <row r="5" spans="2:20" ht="10" customHeight="1" thickBot="1" x14ac:dyDescent="0.35"/>
    <row r="6" spans="2:20" ht="10" customHeight="1" x14ac:dyDescent="0.3">
      <c r="B6" s="393"/>
      <c r="C6" s="431"/>
      <c r="D6" s="431"/>
      <c r="E6" s="432"/>
      <c r="F6" s="403"/>
      <c r="G6" s="432"/>
      <c r="H6" s="432"/>
      <c r="I6" s="432"/>
      <c r="J6" s="432"/>
      <c r="K6" s="403"/>
      <c r="L6" s="432"/>
      <c r="M6" s="394"/>
    </row>
    <row r="7" spans="2:20" ht="26" customHeight="1" x14ac:dyDescent="0.3">
      <c r="B7" s="171"/>
      <c r="C7" s="1113" t="s">
        <v>499</v>
      </c>
      <c r="D7" s="1114"/>
      <c r="E7" s="1114"/>
      <c r="F7" s="1114"/>
      <c r="G7" s="1114"/>
      <c r="H7" s="1114"/>
      <c r="I7" s="1114"/>
      <c r="J7" s="1114"/>
      <c r="K7" s="1114"/>
      <c r="L7" s="1115"/>
      <c r="M7" s="326"/>
    </row>
    <row r="8" spans="2:20" ht="10" customHeight="1" x14ac:dyDescent="0.3">
      <c r="B8" s="171"/>
      <c r="E8" s="433"/>
      <c r="F8" s="434"/>
      <c r="G8" s="433"/>
      <c r="H8" s="433"/>
      <c r="I8" s="433"/>
      <c r="M8" s="326"/>
    </row>
    <row r="9" spans="2:20" ht="28" customHeight="1" x14ac:dyDescent="0.3">
      <c r="B9" s="171"/>
      <c r="C9" s="1058" t="s">
        <v>64</v>
      </c>
      <c r="D9" s="1058"/>
      <c r="E9" s="1058"/>
      <c r="F9" s="1058"/>
      <c r="G9" s="1058"/>
      <c r="H9" s="1058"/>
      <c r="I9" s="1058"/>
      <c r="J9" s="1058"/>
      <c r="K9" s="1058"/>
      <c r="L9" s="1058"/>
      <c r="M9" s="326"/>
    </row>
    <row r="10" spans="2:20" ht="44" customHeight="1" x14ac:dyDescent="0.3">
      <c r="B10" s="171"/>
      <c r="C10" s="1130" t="s">
        <v>586</v>
      </c>
      <c r="D10" s="1074"/>
      <c r="E10" s="1074"/>
      <c r="F10" s="1074"/>
      <c r="G10" s="1074"/>
      <c r="H10" s="1074"/>
      <c r="I10" s="1074"/>
      <c r="J10" s="1074"/>
      <c r="K10" s="1074"/>
      <c r="L10" s="1074"/>
      <c r="M10" s="326"/>
    </row>
    <row r="11" spans="2:20" ht="10" customHeight="1" x14ac:dyDescent="0.3">
      <c r="B11" s="171"/>
      <c r="D11" s="599"/>
      <c r="E11" s="599"/>
      <c r="F11" s="599"/>
      <c r="G11" s="599"/>
      <c r="H11" s="599"/>
      <c r="I11" s="599"/>
      <c r="J11" s="599"/>
      <c r="K11" s="599"/>
      <c r="L11" s="600"/>
      <c r="M11" s="326"/>
    </row>
    <row r="12" spans="2:20" ht="34" customHeight="1" x14ac:dyDescent="0.3">
      <c r="B12" s="171"/>
      <c r="C12" s="1043" t="s">
        <v>600</v>
      </c>
      <c r="D12" s="1043"/>
      <c r="E12" s="1043"/>
      <c r="F12" s="1043"/>
      <c r="G12" s="1043"/>
      <c r="H12" s="1043"/>
      <c r="I12" s="1043"/>
      <c r="J12" s="1043"/>
      <c r="K12" s="1043"/>
      <c r="L12" s="1043"/>
      <c r="M12" s="326"/>
    </row>
    <row r="13" spans="2:20" ht="22" customHeight="1" x14ac:dyDescent="0.3">
      <c r="B13" s="171"/>
      <c r="C13" s="1043" t="s">
        <v>705</v>
      </c>
      <c r="D13" s="1043"/>
      <c r="E13" s="1043"/>
      <c r="F13" s="1043"/>
      <c r="G13" s="1043"/>
      <c r="H13" s="1043"/>
      <c r="I13" s="1043"/>
      <c r="J13" s="1043"/>
      <c r="K13" s="1043"/>
      <c r="L13" s="1043"/>
      <c r="M13" s="326"/>
    </row>
    <row r="14" spans="2:20" ht="10" customHeight="1" thickBot="1" x14ac:dyDescent="0.35">
      <c r="B14" s="171"/>
      <c r="E14" s="433"/>
      <c r="F14" s="434"/>
      <c r="G14" s="433"/>
      <c r="H14" s="433"/>
      <c r="I14" s="433"/>
      <c r="M14" s="326"/>
    </row>
    <row r="15" spans="2:20" s="604" customFormat="1" ht="22" customHeight="1" x14ac:dyDescent="0.35">
      <c r="B15" s="601"/>
      <c r="C15" s="602"/>
      <c r="D15" s="1120" t="s">
        <v>381</v>
      </c>
      <c r="E15" s="1121"/>
      <c r="F15" s="1122"/>
      <c r="G15" s="1124" t="s">
        <v>388</v>
      </c>
      <c r="H15" s="1125"/>
      <c r="I15" s="1126"/>
      <c r="J15" s="1127" t="s">
        <v>607</v>
      </c>
      <c r="K15" s="1128"/>
      <c r="L15" s="1129"/>
      <c r="M15" s="603"/>
      <c r="O15" s="1055" t="s">
        <v>830</v>
      </c>
      <c r="P15" s="605"/>
      <c r="Q15" s="606"/>
      <c r="R15" s="606"/>
      <c r="S15" s="606"/>
      <c r="T15" s="606"/>
    </row>
    <row r="16" spans="2:20" s="370" customFormat="1" ht="74" customHeight="1" x14ac:dyDescent="0.3">
      <c r="B16" s="439"/>
      <c r="C16" s="607"/>
      <c r="D16" s="608" t="s">
        <v>384</v>
      </c>
      <c r="E16" s="609" t="s">
        <v>385</v>
      </c>
      <c r="F16" s="610" t="s">
        <v>386</v>
      </c>
      <c r="G16" s="611" t="s">
        <v>603</v>
      </c>
      <c r="H16" s="612" t="s">
        <v>375</v>
      </c>
      <c r="I16" s="610" t="s">
        <v>604</v>
      </c>
      <c r="J16" s="613" t="s">
        <v>608</v>
      </c>
      <c r="K16" s="614" t="s">
        <v>609</v>
      </c>
      <c r="L16" s="610" t="s">
        <v>387</v>
      </c>
      <c r="M16" s="446"/>
      <c r="N16" s="439"/>
      <c r="O16" s="1056"/>
      <c r="P16" s="471"/>
      <c r="Q16" s="448" t="s">
        <v>414</v>
      </c>
      <c r="R16" s="448" t="s">
        <v>616</v>
      </c>
      <c r="S16" s="448" t="s">
        <v>617</v>
      </c>
      <c r="T16" s="448" t="s">
        <v>618</v>
      </c>
    </row>
    <row r="17" spans="2:23" s="370" customFormat="1" ht="16" customHeight="1" x14ac:dyDescent="0.3">
      <c r="B17" s="439"/>
      <c r="C17" s="607"/>
      <c r="D17" s="608"/>
      <c r="E17" s="609"/>
      <c r="F17" s="615"/>
      <c r="G17" s="616"/>
      <c r="H17" s="612"/>
      <c r="I17" s="615"/>
      <c r="J17" s="784" t="str">
        <f>IF(J18="","","maximum")</f>
        <v/>
      </c>
      <c r="K17" s="785" t="str">
        <f>IF(K18="","","maximum")</f>
        <v/>
      </c>
      <c r="L17" s="610"/>
      <c r="M17" s="446"/>
      <c r="N17" s="439"/>
      <c r="O17" s="1056"/>
      <c r="P17" s="471"/>
      <c r="Q17" s="448"/>
      <c r="R17" s="448"/>
      <c r="S17" s="448"/>
      <c r="T17" s="448"/>
      <c r="W17" s="482" t="s">
        <v>565</v>
      </c>
    </row>
    <row r="18" spans="2:23" s="370" customFormat="1" ht="16" customHeight="1" x14ac:dyDescent="0.3">
      <c r="B18" s="439"/>
      <c r="C18" s="617"/>
      <c r="D18" s="618"/>
      <c r="E18" s="619"/>
      <c r="F18" s="620"/>
      <c r="G18" s="621"/>
      <c r="H18" s="622"/>
      <c r="I18" s="620"/>
      <c r="J18" s="786" t="str">
        <f>IF(RAPPORT_FINAL_Calendrier!$X$75=0,"",RAPPORT_FINAL_Calendrier!$X$75)</f>
        <v/>
      </c>
      <c r="K18" s="787" t="str">
        <f>IF(RAPPORT_FINAL_Calendrier!$X$74=0,"",RAPPORT_FINAL_Calendrier!$X$74)</f>
        <v/>
      </c>
      <c r="L18" s="623"/>
      <c r="M18" s="446"/>
      <c r="N18" s="439"/>
      <c r="O18" s="1057"/>
      <c r="P18" s="471"/>
      <c r="Q18" s="448"/>
      <c r="R18" s="448"/>
      <c r="S18" s="448"/>
      <c r="T18" s="448"/>
    </row>
    <row r="19" spans="2:23" s="62" customFormat="1" ht="16.5" x14ac:dyDescent="0.35">
      <c r="B19" s="118"/>
      <c r="C19" s="490">
        <v>1</v>
      </c>
      <c r="D19" s="772" t="str">
        <f>IF(DEMANDE_Équipe_Tournée!D18="","",DEMANDE_Équipe_Tournée!D18)</f>
        <v/>
      </c>
      <c r="E19" s="773" t="str">
        <f>IF(DEMANDE_Équipe_Tournée!E18="","",DEMANDE_Équipe_Tournée!E18)</f>
        <v/>
      </c>
      <c r="F19" s="774" t="str">
        <f>IF(DEMANDE_Équipe_Tournée!F18="","",DEMANDE_Équipe_Tournée!F18)</f>
        <v/>
      </c>
      <c r="G19" s="775" t="str">
        <f>IF(DEMANDE_Équipe_Tournée!G18="","",DEMANDE_Équipe_Tournée!G18)</f>
        <v/>
      </c>
      <c r="H19" s="776" t="str">
        <f>IF(DEMANDE_Équipe_Tournée!H18="","",DEMANDE_Équipe_Tournée!H18)</f>
        <v/>
      </c>
      <c r="I19" s="752">
        <f>IF(F19="",0,IF(G19="","",IF(F19="Non",0,IF(AND(R19&lt;&gt;0,T19=3),0,IF(G19*0.4&gt;Q19,Q19,G19*0.4)))))</f>
        <v>0</v>
      </c>
      <c r="J19" s="777" t="str">
        <f>IF(D19="","",IF(RAPPORT_FINAL_Calendrier!$X$75=0,"",RAPPORT_FINAL_Calendrier!$X$75))</f>
        <v/>
      </c>
      <c r="K19" s="765" t="str">
        <f>IF(D19="","",IF(RAPPORT_FINAL_Calendrier!$X$74=0,"",RAPPORT_FINAL_Calendrier!$X$74))</f>
        <v/>
      </c>
      <c r="L19" s="752">
        <f>IF(RAPPORT_FINAL_Calendrier!$H$20="",0,IF(F19="non",0,IF(F19="",0,IF(AND(R19&lt;&gt;0,T19=3),0,IF(J19="",(K19*80),IF(K19="",J19*140,((J19*140)+(K19*80))))))))</f>
        <v>0</v>
      </c>
      <c r="M19" s="119"/>
      <c r="N19" s="491"/>
      <c r="O19" s="492"/>
      <c r="P19" s="493"/>
      <c r="Q19" s="263">
        <f>IF(ISERROR(SEARCH("A -",H19)),IF(ISERROR(SEARCH("B -",H19)),IF(ISERROR(SEARCH("C -",H19)),0,800),600),400)</f>
        <v>0</v>
      </c>
      <c r="R19" s="263">
        <f>IF(E19="Éclairagiste",1,IF(E19="Directeur (trice) de tournée",1,IF(E19="Technicien (cienne) de son",1,IF(E19="Préposé(e) aux instruments",1,0))))</f>
        <v>0</v>
      </c>
      <c r="S19" s="263">
        <f>+R19</f>
        <v>0</v>
      </c>
      <c r="T19" s="263">
        <f>IF(S19&gt;3,3,0)</f>
        <v>0</v>
      </c>
    </row>
    <row r="20" spans="2:23" s="62" customFormat="1" ht="16.5" x14ac:dyDescent="0.35">
      <c r="B20" s="118"/>
      <c r="C20" s="490">
        <v>2</v>
      </c>
      <c r="D20" s="772" t="str">
        <f>IF(DEMANDE_Équipe_Tournée!D19="","",DEMANDE_Équipe_Tournée!D19)</f>
        <v/>
      </c>
      <c r="E20" s="773" t="str">
        <f>IF(DEMANDE_Équipe_Tournée!E19="","",DEMANDE_Équipe_Tournée!E19)</f>
        <v/>
      </c>
      <c r="F20" s="774" t="str">
        <f>IF(DEMANDE_Équipe_Tournée!F19="","",DEMANDE_Équipe_Tournée!F19)</f>
        <v/>
      </c>
      <c r="G20" s="775" t="str">
        <f>IF(DEMANDE_Équipe_Tournée!G19="","",DEMANDE_Équipe_Tournée!G19)</f>
        <v/>
      </c>
      <c r="H20" s="776" t="str">
        <f>IF(DEMANDE_Équipe_Tournée!H19="","",DEMANDE_Équipe_Tournée!H19)</f>
        <v/>
      </c>
      <c r="I20" s="752">
        <f t="shared" ref="I20:I33" si="0">IF(F20="",0,IF(G20="","",IF(F20="Non",0,IF(AND(R20&lt;&gt;0,T20=3),0,IF(G20*0.4&gt;Q20,Q20,G20*0.4)))))</f>
        <v>0</v>
      </c>
      <c r="J20" s="777" t="str">
        <f>IF(D20="","",IF(RAPPORT_FINAL_Calendrier!$X$75=0,"",RAPPORT_FINAL_Calendrier!$X$75))</f>
        <v/>
      </c>
      <c r="K20" s="765" t="str">
        <f>IF(D20="","",IF(RAPPORT_FINAL_Calendrier!$X$74=0,"",RAPPORT_FINAL_Calendrier!$X$74))</f>
        <v/>
      </c>
      <c r="L20" s="752">
        <f>IF(RAPPORT_FINAL_Calendrier!$H$20="",0,IF(F20="non",0,IF(F20="",0,IF(AND(R20&lt;&gt;0,T20=3),0,IF(J20="",(K20*80),IF(K20="",J20*140,((J20*140)+(K20*80))))))))</f>
        <v>0</v>
      </c>
      <c r="M20" s="119"/>
      <c r="O20" s="492"/>
      <c r="P20" s="493"/>
      <c r="Q20" s="263">
        <f t="shared" ref="Q20:Q33" si="1">IF(ISERROR(SEARCH("A -",H20)),IF(ISERROR(SEARCH("B -",H20)),IF(ISERROR(SEARCH("C -",H20)),0,800),600),400)</f>
        <v>0</v>
      </c>
      <c r="R20" s="263">
        <f t="shared" ref="R20:R33" si="2">IF(E20="Éclairagiste",1,IF(E20="Directeur (trice) de tournée",1,IF(E20="Technicien (cienne) de son",1,IF(E20="Préposé(e) aux instruments",1,0))))</f>
        <v>0</v>
      </c>
      <c r="S20" s="263">
        <f>+S19+R20</f>
        <v>0</v>
      </c>
      <c r="T20" s="263">
        <f t="shared" ref="T20:T33" si="3">IF(S20&gt;3,3,0)</f>
        <v>0</v>
      </c>
    </row>
    <row r="21" spans="2:23" s="62" customFormat="1" x14ac:dyDescent="0.35">
      <c r="B21" s="118"/>
      <c r="C21" s="490">
        <v>3</v>
      </c>
      <c r="D21" s="772" t="str">
        <f>IF(DEMANDE_Équipe_Tournée!D20="","",DEMANDE_Équipe_Tournée!D20)</f>
        <v/>
      </c>
      <c r="E21" s="773" t="str">
        <f>IF(DEMANDE_Équipe_Tournée!E20="","",DEMANDE_Équipe_Tournée!E20)</f>
        <v/>
      </c>
      <c r="F21" s="774" t="str">
        <f>IF(DEMANDE_Équipe_Tournée!F20="","",DEMANDE_Équipe_Tournée!F20)</f>
        <v/>
      </c>
      <c r="G21" s="775" t="str">
        <f>IF(DEMANDE_Équipe_Tournée!G20="","",DEMANDE_Équipe_Tournée!G20)</f>
        <v/>
      </c>
      <c r="H21" s="776" t="str">
        <f>IF(DEMANDE_Équipe_Tournée!H20="","",DEMANDE_Équipe_Tournée!H20)</f>
        <v/>
      </c>
      <c r="I21" s="752">
        <f t="shared" si="0"/>
        <v>0</v>
      </c>
      <c r="J21" s="777" t="str">
        <f>IF(D21="","",IF(RAPPORT_FINAL_Calendrier!$X$75=0,"",RAPPORT_FINAL_Calendrier!$X$75))</f>
        <v/>
      </c>
      <c r="K21" s="765" t="str">
        <f>IF(D21="","",IF(RAPPORT_FINAL_Calendrier!$X$74=0,"",RAPPORT_FINAL_Calendrier!$X$74))</f>
        <v/>
      </c>
      <c r="L21" s="752">
        <f>IF(RAPPORT_FINAL_Calendrier!$H$20="",0,IF(F21="non",0,IF(F21="",0,IF(AND(R21&lt;&gt;0,T21=3),0,IF(J21="",(K21*80),IF(K21="",J21*140,((J21*140)+(K21*80))))))))</f>
        <v>0</v>
      </c>
      <c r="M21" s="119"/>
      <c r="O21" s="494"/>
      <c r="P21" s="495"/>
      <c r="Q21" s="263">
        <f t="shared" si="1"/>
        <v>0</v>
      </c>
      <c r="R21" s="263">
        <f t="shared" si="2"/>
        <v>0</v>
      </c>
      <c r="S21" s="263">
        <f t="shared" ref="S21:S33" si="4">+S20+R21</f>
        <v>0</v>
      </c>
      <c r="T21" s="263">
        <f t="shared" si="3"/>
        <v>0</v>
      </c>
    </row>
    <row r="22" spans="2:23" s="62" customFormat="1" ht="16.5" x14ac:dyDescent="0.35">
      <c r="B22" s="118"/>
      <c r="C22" s="490">
        <v>4</v>
      </c>
      <c r="D22" s="772" t="str">
        <f>IF(DEMANDE_Équipe_Tournée!D21="","",DEMANDE_Équipe_Tournée!D21)</f>
        <v/>
      </c>
      <c r="E22" s="773" t="str">
        <f>IF(DEMANDE_Équipe_Tournée!E21="","",DEMANDE_Équipe_Tournée!E21)</f>
        <v/>
      </c>
      <c r="F22" s="774" t="str">
        <f>IF(DEMANDE_Équipe_Tournée!F21="","",DEMANDE_Équipe_Tournée!F21)</f>
        <v/>
      </c>
      <c r="G22" s="775" t="str">
        <f>IF(DEMANDE_Équipe_Tournée!G21="","",DEMANDE_Équipe_Tournée!G21)</f>
        <v/>
      </c>
      <c r="H22" s="776" t="str">
        <f>IF(DEMANDE_Équipe_Tournée!H21="","",DEMANDE_Équipe_Tournée!H21)</f>
        <v/>
      </c>
      <c r="I22" s="752">
        <f t="shared" si="0"/>
        <v>0</v>
      </c>
      <c r="J22" s="777" t="str">
        <f>IF(D22="","",IF(RAPPORT_FINAL_Calendrier!$X$75=0,"",RAPPORT_FINAL_Calendrier!$X$75))</f>
        <v/>
      </c>
      <c r="K22" s="765" t="str">
        <f>IF(D22="","",IF(RAPPORT_FINAL_Calendrier!$X$74=0,"",RAPPORT_FINAL_Calendrier!$X$74))</f>
        <v/>
      </c>
      <c r="L22" s="752">
        <f>IF(RAPPORT_FINAL_Calendrier!$H$20="",0,IF(F22="non",0,IF(F22="",0,IF(AND(R22&lt;&gt;0,T22=3),0,IF(J22="",(K22*80),IF(K22="",J22*140,((J22*140)+(K22*80))))))))</f>
        <v>0</v>
      </c>
      <c r="M22" s="119"/>
      <c r="O22" s="1061" t="str">
        <f>IF(Q38&gt;3,"Le nombre maximal de techniciens/directeurs (trice) de tournée admissibles est de trois","")</f>
        <v/>
      </c>
      <c r="P22" s="496"/>
      <c r="Q22" s="263">
        <f t="shared" si="1"/>
        <v>0</v>
      </c>
      <c r="R22" s="263">
        <f t="shared" si="2"/>
        <v>0</v>
      </c>
      <c r="S22" s="263">
        <f t="shared" si="4"/>
        <v>0</v>
      </c>
      <c r="T22" s="263">
        <f t="shared" si="3"/>
        <v>0</v>
      </c>
    </row>
    <row r="23" spans="2:23" s="62" customFormat="1" ht="16.5" x14ac:dyDescent="0.35">
      <c r="B23" s="118"/>
      <c r="C23" s="490">
        <v>5</v>
      </c>
      <c r="D23" s="772" t="str">
        <f>IF(DEMANDE_Équipe_Tournée!D22="","",DEMANDE_Équipe_Tournée!D22)</f>
        <v/>
      </c>
      <c r="E23" s="773" t="str">
        <f>IF(DEMANDE_Équipe_Tournée!E22="","",DEMANDE_Équipe_Tournée!E22)</f>
        <v/>
      </c>
      <c r="F23" s="774" t="str">
        <f>IF(DEMANDE_Équipe_Tournée!F22="","",DEMANDE_Équipe_Tournée!F22)</f>
        <v/>
      </c>
      <c r="G23" s="775" t="str">
        <f>IF(DEMANDE_Équipe_Tournée!G22="","",DEMANDE_Équipe_Tournée!G22)</f>
        <v/>
      </c>
      <c r="H23" s="776" t="str">
        <f>IF(DEMANDE_Équipe_Tournée!H22="","",DEMANDE_Équipe_Tournée!H22)</f>
        <v/>
      </c>
      <c r="I23" s="752">
        <f t="shared" si="0"/>
        <v>0</v>
      </c>
      <c r="J23" s="777" t="str">
        <f>IF(D23="","",IF(RAPPORT_FINAL_Calendrier!$X$75=0,"",RAPPORT_FINAL_Calendrier!$X$75))</f>
        <v/>
      </c>
      <c r="K23" s="765" t="str">
        <f>IF(D23="","",IF(RAPPORT_FINAL_Calendrier!$X$74=0,"",RAPPORT_FINAL_Calendrier!$X$74))</f>
        <v/>
      </c>
      <c r="L23" s="752">
        <f>IF(RAPPORT_FINAL_Calendrier!$H$20="",0,IF(F23="non",0,IF(F23="",0,IF(AND(R23&lt;&gt;0,T23=3),0,IF(J23="",(K23*80),IF(K23="",J23*140,((J23*140)+(K23*80))))))))</f>
        <v>0</v>
      </c>
      <c r="M23" s="119"/>
      <c r="O23" s="1061"/>
      <c r="P23" s="496"/>
      <c r="Q23" s="263">
        <f t="shared" si="1"/>
        <v>0</v>
      </c>
      <c r="R23" s="263">
        <f t="shared" si="2"/>
        <v>0</v>
      </c>
      <c r="S23" s="263">
        <f t="shared" si="4"/>
        <v>0</v>
      </c>
      <c r="T23" s="263">
        <f t="shared" si="3"/>
        <v>0</v>
      </c>
    </row>
    <row r="24" spans="2:23" s="62" customFormat="1" ht="16.5" x14ac:dyDescent="0.35">
      <c r="B24" s="118"/>
      <c r="C24" s="490">
        <v>6</v>
      </c>
      <c r="D24" s="772" t="str">
        <f>IF(DEMANDE_Équipe_Tournée!D23="","",DEMANDE_Équipe_Tournée!D23)</f>
        <v/>
      </c>
      <c r="E24" s="773" t="str">
        <f>IF(DEMANDE_Équipe_Tournée!E23="","",DEMANDE_Équipe_Tournée!E23)</f>
        <v/>
      </c>
      <c r="F24" s="774" t="str">
        <f>IF(DEMANDE_Équipe_Tournée!F23="","",DEMANDE_Équipe_Tournée!F23)</f>
        <v/>
      </c>
      <c r="G24" s="775" t="str">
        <f>IF(DEMANDE_Équipe_Tournée!G23="","",DEMANDE_Équipe_Tournée!G23)</f>
        <v/>
      </c>
      <c r="H24" s="776" t="str">
        <f>IF(DEMANDE_Équipe_Tournée!H23="","",DEMANDE_Équipe_Tournée!H23)</f>
        <v/>
      </c>
      <c r="I24" s="752">
        <f t="shared" si="0"/>
        <v>0</v>
      </c>
      <c r="J24" s="777" t="str">
        <f>IF(D24="","",IF(RAPPORT_FINAL_Calendrier!$X$75=0,"",RAPPORT_FINAL_Calendrier!$X$75))</f>
        <v/>
      </c>
      <c r="K24" s="765" t="str">
        <f>IF(D24="","",IF(RAPPORT_FINAL_Calendrier!$X$74=0,"",RAPPORT_FINAL_Calendrier!$X$74))</f>
        <v/>
      </c>
      <c r="L24" s="752">
        <f>IF(RAPPORT_FINAL_Calendrier!$H$20="",0,IF(F24="non",0,IF(F24="",0,IF(AND(R24&lt;&gt;0,T24=3),0,IF(J24="",(K24*80),IF(K24="",J24*140,((J24*140)+(K24*80))))))))</f>
        <v>0</v>
      </c>
      <c r="M24" s="119"/>
      <c r="O24" s="1061"/>
      <c r="P24" s="496"/>
      <c r="Q24" s="263">
        <f t="shared" si="1"/>
        <v>0</v>
      </c>
      <c r="R24" s="263">
        <f t="shared" si="2"/>
        <v>0</v>
      </c>
      <c r="S24" s="263">
        <f t="shared" si="4"/>
        <v>0</v>
      </c>
      <c r="T24" s="263">
        <f t="shared" si="3"/>
        <v>0</v>
      </c>
    </row>
    <row r="25" spans="2:23" s="62" customFormat="1" ht="16.5" x14ac:dyDescent="0.35">
      <c r="B25" s="118"/>
      <c r="C25" s="490">
        <v>7</v>
      </c>
      <c r="D25" s="772" t="str">
        <f>IF(DEMANDE_Équipe_Tournée!D24="","",DEMANDE_Équipe_Tournée!D24)</f>
        <v/>
      </c>
      <c r="E25" s="773" t="str">
        <f>IF(DEMANDE_Équipe_Tournée!E24="","",DEMANDE_Équipe_Tournée!E24)</f>
        <v/>
      </c>
      <c r="F25" s="774" t="str">
        <f>IF(DEMANDE_Équipe_Tournée!F24="","",DEMANDE_Équipe_Tournée!F24)</f>
        <v/>
      </c>
      <c r="G25" s="775" t="str">
        <f>IF(DEMANDE_Équipe_Tournée!G24="","",DEMANDE_Équipe_Tournée!G24)</f>
        <v/>
      </c>
      <c r="H25" s="776" t="str">
        <f>IF(DEMANDE_Équipe_Tournée!H24="","",DEMANDE_Équipe_Tournée!H24)</f>
        <v/>
      </c>
      <c r="I25" s="752">
        <f t="shared" si="0"/>
        <v>0</v>
      </c>
      <c r="J25" s="777" t="str">
        <f>IF(D25="","",IF(RAPPORT_FINAL_Calendrier!$X$75=0,"",RAPPORT_FINAL_Calendrier!$X$75))</f>
        <v/>
      </c>
      <c r="K25" s="765" t="str">
        <f>IF(D25="","",IF(RAPPORT_FINAL_Calendrier!$X$74=0,"",RAPPORT_FINAL_Calendrier!$X$74))</f>
        <v/>
      </c>
      <c r="L25" s="752">
        <f>IF(RAPPORT_FINAL_Calendrier!$H$20="",0,IF(F25="non",0,IF(F25="",0,IF(AND(R25&lt;&gt;0,T25=3),0,IF(J25="",(K25*80),IF(K25="",J25*140,((J25*140)+(K25*80))))))))</f>
        <v>0</v>
      </c>
      <c r="M25" s="119"/>
      <c r="O25" s="1061"/>
      <c r="P25" s="496"/>
      <c r="Q25" s="263">
        <f t="shared" si="1"/>
        <v>0</v>
      </c>
      <c r="R25" s="263">
        <f t="shared" si="2"/>
        <v>0</v>
      </c>
      <c r="S25" s="263">
        <f t="shared" si="4"/>
        <v>0</v>
      </c>
      <c r="T25" s="263">
        <f t="shared" si="3"/>
        <v>0</v>
      </c>
    </row>
    <row r="26" spans="2:23" s="62" customFormat="1" ht="16.5" x14ac:dyDescent="0.35">
      <c r="B26" s="118"/>
      <c r="C26" s="490">
        <v>8</v>
      </c>
      <c r="D26" s="772" t="str">
        <f>IF(DEMANDE_Équipe_Tournée!D25="","",DEMANDE_Équipe_Tournée!D25)</f>
        <v/>
      </c>
      <c r="E26" s="773" t="str">
        <f>IF(DEMANDE_Équipe_Tournée!E25="","",DEMANDE_Équipe_Tournée!E25)</f>
        <v/>
      </c>
      <c r="F26" s="774" t="str">
        <f>IF(DEMANDE_Équipe_Tournée!F25="","",DEMANDE_Équipe_Tournée!F25)</f>
        <v/>
      </c>
      <c r="G26" s="775" t="str">
        <f>IF(DEMANDE_Équipe_Tournée!G25="","",DEMANDE_Équipe_Tournée!G25)</f>
        <v/>
      </c>
      <c r="H26" s="776" t="str">
        <f>IF(DEMANDE_Équipe_Tournée!H25="","",DEMANDE_Équipe_Tournée!H25)</f>
        <v/>
      </c>
      <c r="I26" s="752">
        <f t="shared" si="0"/>
        <v>0</v>
      </c>
      <c r="J26" s="777" t="str">
        <f>IF(D26="","",IF(RAPPORT_FINAL_Calendrier!$X$75=0,"",RAPPORT_FINAL_Calendrier!$X$75))</f>
        <v/>
      </c>
      <c r="K26" s="765" t="str">
        <f>IF(D26="","",IF(RAPPORT_FINAL_Calendrier!$X$74=0,"",RAPPORT_FINAL_Calendrier!$X$74))</f>
        <v/>
      </c>
      <c r="L26" s="752">
        <f>IF(RAPPORT_FINAL_Calendrier!$H$20="",0,IF(F26="non",0,IF(F26="",0,IF(AND(R26&lt;&gt;0,T26=3),0,IF(J26="",(K26*80),IF(K26="",J26*140,((J26*140)+(K26*80))))))))</f>
        <v>0</v>
      </c>
      <c r="M26" s="119"/>
      <c r="O26" s="1061"/>
      <c r="P26" s="496"/>
      <c r="Q26" s="263">
        <f t="shared" si="1"/>
        <v>0</v>
      </c>
      <c r="R26" s="263">
        <f t="shared" si="2"/>
        <v>0</v>
      </c>
      <c r="S26" s="263">
        <f t="shared" si="4"/>
        <v>0</v>
      </c>
      <c r="T26" s="263">
        <f t="shared" si="3"/>
        <v>0</v>
      </c>
    </row>
    <row r="27" spans="2:23" s="62" customFormat="1" ht="16.5" x14ac:dyDescent="0.35">
      <c r="B27" s="118"/>
      <c r="C27" s="490">
        <v>9</v>
      </c>
      <c r="D27" s="772" t="str">
        <f>IF(DEMANDE_Équipe_Tournée!D26="","",DEMANDE_Équipe_Tournée!D26)</f>
        <v/>
      </c>
      <c r="E27" s="773" t="str">
        <f>IF(DEMANDE_Équipe_Tournée!E26="","",DEMANDE_Équipe_Tournée!E26)</f>
        <v/>
      </c>
      <c r="F27" s="774" t="str">
        <f>IF(DEMANDE_Équipe_Tournée!F26="","",DEMANDE_Équipe_Tournée!F26)</f>
        <v/>
      </c>
      <c r="G27" s="775" t="str">
        <f>IF(DEMANDE_Équipe_Tournée!G26="","",DEMANDE_Équipe_Tournée!G26)</f>
        <v/>
      </c>
      <c r="H27" s="776" t="str">
        <f>IF(DEMANDE_Équipe_Tournée!H26="","",DEMANDE_Équipe_Tournée!H26)</f>
        <v/>
      </c>
      <c r="I27" s="752">
        <f t="shared" si="0"/>
        <v>0</v>
      </c>
      <c r="J27" s="777" t="str">
        <f>IF(D27="","",IF(RAPPORT_FINAL_Calendrier!$X$75=0,"",RAPPORT_FINAL_Calendrier!$X$75))</f>
        <v/>
      </c>
      <c r="K27" s="765" t="str">
        <f>IF(D27="","",IF(RAPPORT_FINAL_Calendrier!$X$74=0,"",RAPPORT_FINAL_Calendrier!$X$74))</f>
        <v/>
      </c>
      <c r="L27" s="752">
        <f>IF(RAPPORT_FINAL_Calendrier!$H$20="",0,IF(F27="non",0,IF(F27="",0,IF(AND(R27&lt;&gt;0,T27=3),0,IF(J27="",(K27*80),IF(K27="",J27*140,((J27*140)+(K27*80))))))))</f>
        <v>0</v>
      </c>
      <c r="M27" s="119"/>
      <c r="O27" s="1061"/>
      <c r="P27" s="496"/>
      <c r="Q27" s="263">
        <f t="shared" si="1"/>
        <v>0</v>
      </c>
      <c r="R27" s="263">
        <f t="shared" si="2"/>
        <v>0</v>
      </c>
      <c r="S27" s="263">
        <f t="shared" si="4"/>
        <v>0</v>
      </c>
      <c r="T27" s="263">
        <f t="shared" si="3"/>
        <v>0</v>
      </c>
    </row>
    <row r="28" spans="2:23" s="62" customFormat="1" ht="16.5" x14ac:dyDescent="0.35">
      <c r="B28" s="118"/>
      <c r="C28" s="490">
        <v>10</v>
      </c>
      <c r="D28" s="772" t="str">
        <f>IF(DEMANDE_Équipe_Tournée!D27="","",DEMANDE_Équipe_Tournée!D27)</f>
        <v/>
      </c>
      <c r="E28" s="773" t="str">
        <f>IF(DEMANDE_Équipe_Tournée!E27="","",DEMANDE_Équipe_Tournée!E27)</f>
        <v/>
      </c>
      <c r="F28" s="774" t="str">
        <f>IF(DEMANDE_Équipe_Tournée!F27="","",DEMANDE_Équipe_Tournée!F27)</f>
        <v/>
      </c>
      <c r="G28" s="775" t="str">
        <f>IF(DEMANDE_Équipe_Tournée!G27="","",DEMANDE_Équipe_Tournée!G27)</f>
        <v/>
      </c>
      <c r="H28" s="776" t="str">
        <f>IF(DEMANDE_Équipe_Tournée!H27="","",DEMANDE_Équipe_Tournée!H27)</f>
        <v/>
      </c>
      <c r="I28" s="752">
        <f t="shared" si="0"/>
        <v>0</v>
      </c>
      <c r="J28" s="777" t="str">
        <f>IF(D28="","",IF(RAPPORT_FINAL_Calendrier!$X$75=0,"",RAPPORT_FINAL_Calendrier!$X$75))</f>
        <v/>
      </c>
      <c r="K28" s="765" t="str">
        <f>IF(D28="","",IF(RAPPORT_FINAL_Calendrier!$X$74=0,"",RAPPORT_FINAL_Calendrier!$X$74))</f>
        <v/>
      </c>
      <c r="L28" s="752">
        <f>IF(RAPPORT_FINAL_Calendrier!$H$20="",0,IF(F28="non",0,IF(F28="",0,IF(AND(R28&lt;&gt;0,T28=3),0,IF(J28="",(K28*80),IF(K28="",J28*140,((J28*140)+(K28*80))))))))</f>
        <v>0</v>
      </c>
      <c r="M28" s="119"/>
      <c r="O28" s="1061"/>
      <c r="P28" s="496"/>
      <c r="Q28" s="263">
        <f t="shared" si="1"/>
        <v>0</v>
      </c>
      <c r="R28" s="263">
        <f t="shared" si="2"/>
        <v>0</v>
      </c>
      <c r="S28" s="263">
        <f t="shared" si="4"/>
        <v>0</v>
      </c>
      <c r="T28" s="263">
        <f t="shared" si="3"/>
        <v>0</v>
      </c>
    </row>
    <row r="29" spans="2:23" s="62" customFormat="1" ht="16.5" x14ac:dyDescent="0.35">
      <c r="B29" s="118"/>
      <c r="C29" s="490">
        <v>11</v>
      </c>
      <c r="D29" s="772" t="str">
        <f>IF(DEMANDE_Équipe_Tournée!D28="","",DEMANDE_Équipe_Tournée!D28)</f>
        <v/>
      </c>
      <c r="E29" s="773" t="str">
        <f>IF(DEMANDE_Équipe_Tournée!E28="","",DEMANDE_Équipe_Tournée!E28)</f>
        <v/>
      </c>
      <c r="F29" s="774" t="str">
        <f>IF(DEMANDE_Équipe_Tournée!F28="","",DEMANDE_Équipe_Tournée!F28)</f>
        <v/>
      </c>
      <c r="G29" s="775" t="str">
        <f>IF(DEMANDE_Équipe_Tournée!G28="","",DEMANDE_Équipe_Tournée!G28)</f>
        <v/>
      </c>
      <c r="H29" s="776" t="str">
        <f>IF(DEMANDE_Équipe_Tournée!H28="","",DEMANDE_Équipe_Tournée!H28)</f>
        <v/>
      </c>
      <c r="I29" s="752">
        <f t="shared" si="0"/>
        <v>0</v>
      </c>
      <c r="J29" s="777" t="str">
        <f>IF(D29="","",IF(RAPPORT_FINAL_Calendrier!$X$75=0,"",RAPPORT_FINAL_Calendrier!$X$75))</f>
        <v/>
      </c>
      <c r="K29" s="765" t="str">
        <f>IF(D29="","",IF(RAPPORT_FINAL_Calendrier!$X$74=0,"",RAPPORT_FINAL_Calendrier!$X$74))</f>
        <v/>
      </c>
      <c r="L29" s="752">
        <f>IF(RAPPORT_FINAL_Calendrier!$H$20="",0,IF(F29="non",0,IF(F29="",0,IF(AND(R29&lt;&gt;0,T29=3),0,IF(J29="",(K29*80),IF(K29="",J29*140,((J29*140)+(K29*80))))))))</f>
        <v>0</v>
      </c>
      <c r="M29" s="119"/>
      <c r="O29" s="497"/>
      <c r="P29" s="496"/>
      <c r="Q29" s="263">
        <f t="shared" si="1"/>
        <v>0</v>
      </c>
      <c r="R29" s="263">
        <f t="shared" si="2"/>
        <v>0</v>
      </c>
      <c r="S29" s="263">
        <f t="shared" si="4"/>
        <v>0</v>
      </c>
      <c r="T29" s="263">
        <f t="shared" si="3"/>
        <v>0</v>
      </c>
    </row>
    <row r="30" spans="2:23" s="62" customFormat="1" ht="16.5" x14ac:dyDescent="0.35">
      <c r="B30" s="118"/>
      <c r="C30" s="490">
        <v>12</v>
      </c>
      <c r="D30" s="772" t="str">
        <f>IF(DEMANDE_Équipe_Tournée!D29="","",DEMANDE_Équipe_Tournée!D29)</f>
        <v/>
      </c>
      <c r="E30" s="773" t="str">
        <f>IF(DEMANDE_Équipe_Tournée!E29="","",DEMANDE_Équipe_Tournée!E29)</f>
        <v/>
      </c>
      <c r="F30" s="774" t="str">
        <f>IF(DEMANDE_Équipe_Tournée!F29="","",DEMANDE_Équipe_Tournée!F29)</f>
        <v/>
      </c>
      <c r="G30" s="775" t="str">
        <f>IF(DEMANDE_Équipe_Tournée!G29="","",DEMANDE_Équipe_Tournée!G29)</f>
        <v/>
      </c>
      <c r="H30" s="776" t="str">
        <f>IF(DEMANDE_Équipe_Tournée!H29="","",DEMANDE_Équipe_Tournée!H29)</f>
        <v/>
      </c>
      <c r="I30" s="752">
        <f t="shared" si="0"/>
        <v>0</v>
      </c>
      <c r="J30" s="777" t="str">
        <f>IF(D30="","",IF(RAPPORT_FINAL_Calendrier!$X$75=0,"",RAPPORT_FINAL_Calendrier!$X$75))</f>
        <v/>
      </c>
      <c r="K30" s="765" t="str">
        <f>IF(D30="","",IF(RAPPORT_FINAL_Calendrier!$X$74=0,"",RAPPORT_FINAL_Calendrier!$X$74))</f>
        <v/>
      </c>
      <c r="L30" s="752">
        <f>IF(RAPPORT_FINAL_Calendrier!$H$20="",0,IF(F30="non",0,IF(F30="",0,IF(AND(R30&lt;&gt;0,T30=3),0,IF(J30="",(K30*80),IF(K30="",J30*140,((J30*140)+(K30*80))))))))</f>
        <v>0</v>
      </c>
      <c r="M30" s="119"/>
      <c r="O30" s="497"/>
      <c r="P30" s="496"/>
      <c r="Q30" s="263">
        <f t="shared" si="1"/>
        <v>0</v>
      </c>
      <c r="R30" s="263">
        <f t="shared" si="2"/>
        <v>0</v>
      </c>
      <c r="S30" s="263">
        <f t="shared" si="4"/>
        <v>0</v>
      </c>
      <c r="T30" s="263">
        <f t="shared" si="3"/>
        <v>0</v>
      </c>
    </row>
    <row r="31" spans="2:23" s="62" customFormat="1" x14ac:dyDescent="0.35">
      <c r="B31" s="118"/>
      <c r="C31" s="490">
        <v>13</v>
      </c>
      <c r="D31" s="772" t="str">
        <f>IF(DEMANDE_Équipe_Tournée!D30="","",DEMANDE_Équipe_Tournée!D30)</f>
        <v/>
      </c>
      <c r="E31" s="773" t="str">
        <f>IF(DEMANDE_Équipe_Tournée!E30="","",DEMANDE_Équipe_Tournée!E30)</f>
        <v/>
      </c>
      <c r="F31" s="774" t="str">
        <f>IF(DEMANDE_Équipe_Tournée!F30="","",DEMANDE_Équipe_Tournée!F30)</f>
        <v/>
      </c>
      <c r="G31" s="775" t="str">
        <f>IF(DEMANDE_Équipe_Tournée!G30="","",DEMANDE_Équipe_Tournée!G30)</f>
        <v/>
      </c>
      <c r="H31" s="776" t="str">
        <f>IF(DEMANDE_Équipe_Tournée!H30="","",DEMANDE_Équipe_Tournée!H30)</f>
        <v/>
      </c>
      <c r="I31" s="752">
        <f t="shared" si="0"/>
        <v>0</v>
      </c>
      <c r="J31" s="777" t="str">
        <f>IF(D31="","",IF(RAPPORT_FINAL_Calendrier!$X$75=0,"",RAPPORT_FINAL_Calendrier!$X$75))</f>
        <v/>
      </c>
      <c r="K31" s="765" t="str">
        <f>IF(D31="","",IF(RAPPORT_FINAL_Calendrier!$X$74=0,"",RAPPORT_FINAL_Calendrier!$X$74))</f>
        <v/>
      </c>
      <c r="L31" s="752">
        <f>IF(RAPPORT_FINAL_Calendrier!$H$20="",0,IF(F31="non",0,IF(F31="",0,IF(AND(R31&lt;&gt;0,T31=3),0,IF(J31="",(K31*80),IF(K31="",J31*140,((J31*140)+(K31*80))))))))</f>
        <v>0</v>
      </c>
      <c r="M31" s="119"/>
      <c r="P31" s="197"/>
      <c r="Q31" s="263">
        <f t="shared" si="1"/>
        <v>0</v>
      </c>
      <c r="R31" s="263">
        <f t="shared" si="2"/>
        <v>0</v>
      </c>
      <c r="S31" s="263">
        <f t="shared" si="4"/>
        <v>0</v>
      </c>
      <c r="T31" s="263">
        <f t="shared" si="3"/>
        <v>0</v>
      </c>
    </row>
    <row r="32" spans="2:23" s="62" customFormat="1" x14ac:dyDescent="0.35">
      <c r="B32" s="118"/>
      <c r="C32" s="490">
        <v>14</v>
      </c>
      <c r="D32" s="772" t="str">
        <f>IF(DEMANDE_Équipe_Tournée!D31="","",DEMANDE_Équipe_Tournée!D31)</f>
        <v/>
      </c>
      <c r="E32" s="773" t="str">
        <f>IF(DEMANDE_Équipe_Tournée!E31="","",DEMANDE_Équipe_Tournée!E31)</f>
        <v/>
      </c>
      <c r="F32" s="774" t="str">
        <f>IF(DEMANDE_Équipe_Tournée!F31="","",DEMANDE_Équipe_Tournée!F31)</f>
        <v/>
      </c>
      <c r="G32" s="775" t="str">
        <f>IF(DEMANDE_Équipe_Tournée!G31="","",DEMANDE_Équipe_Tournée!G31)</f>
        <v/>
      </c>
      <c r="H32" s="776" t="str">
        <f>IF(DEMANDE_Équipe_Tournée!H31="","",DEMANDE_Équipe_Tournée!H31)</f>
        <v/>
      </c>
      <c r="I32" s="752">
        <f t="shared" si="0"/>
        <v>0</v>
      </c>
      <c r="J32" s="777" t="str">
        <f>IF(D32="","",IF(RAPPORT_FINAL_Calendrier!$X$75=0,"",RAPPORT_FINAL_Calendrier!$X$75))</f>
        <v/>
      </c>
      <c r="K32" s="765" t="str">
        <f>IF(D32="","",IF(RAPPORT_FINAL_Calendrier!$X$74=0,"",RAPPORT_FINAL_Calendrier!$X$74))</f>
        <v/>
      </c>
      <c r="L32" s="752">
        <f>IF(RAPPORT_FINAL_Calendrier!$H$20="",0,IF(F32="non",0,IF(F32="",0,IF(AND(R32&lt;&gt;0,T32=3),0,IF(J32="",(K32*80),IF(K32="",J32*140,((J32*140)+(K32*80))))))))</f>
        <v>0</v>
      </c>
      <c r="M32" s="119"/>
      <c r="P32" s="197"/>
      <c r="Q32" s="263">
        <f t="shared" si="1"/>
        <v>0</v>
      </c>
      <c r="R32" s="263">
        <f t="shared" si="2"/>
        <v>0</v>
      </c>
      <c r="S32" s="263">
        <f t="shared" si="4"/>
        <v>0</v>
      </c>
      <c r="T32" s="263">
        <f t="shared" si="3"/>
        <v>0</v>
      </c>
    </row>
    <row r="33" spans="2:20" s="62" customFormat="1" ht="14.5" thickBot="1" x14ac:dyDescent="0.4">
      <c r="B33" s="118"/>
      <c r="C33" s="490">
        <v>15</v>
      </c>
      <c r="D33" s="778" t="str">
        <f>IF(DEMANDE_Équipe_Tournée!D32="","",DEMANDE_Équipe_Tournée!D32)</f>
        <v/>
      </c>
      <c r="E33" s="779" t="str">
        <f>IF(DEMANDE_Équipe_Tournée!E32="","",DEMANDE_Équipe_Tournée!E32)</f>
        <v/>
      </c>
      <c r="F33" s="780" t="str">
        <f>IF(DEMANDE_Équipe_Tournée!F32="","",DEMANDE_Équipe_Tournée!F32)</f>
        <v/>
      </c>
      <c r="G33" s="781" t="str">
        <f>IF(DEMANDE_Équipe_Tournée!G32="","",DEMANDE_Équipe_Tournée!G32)</f>
        <v/>
      </c>
      <c r="H33" s="782" t="str">
        <f>IF(DEMANDE_Équipe_Tournée!H32="","",DEMANDE_Équipe_Tournée!H32)</f>
        <v/>
      </c>
      <c r="I33" s="753">
        <f t="shared" si="0"/>
        <v>0</v>
      </c>
      <c r="J33" s="783" t="str">
        <f>IF(D33="","",IF(RAPPORT_FINAL_Calendrier!$X$75=0,"",RAPPORT_FINAL_Calendrier!$X$75))</f>
        <v/>
      </c>
      <c r="K33" s="770" t="str">
        <f>IF(D33="","",IF(RAPPORT_FINAL_Calendrier!$X$74=0,"",RAPPORT_FINAL_Calendrier!$X$74))</f>
        <v/>
      </c>
      <c r="L33" s="753">
        <f>IF(RAPPORT_FINAL_Calendrier!$H$20="",0,IF(F33="non",0,IF(F33="",0,IF(AND(R33&lt;&gt;0,T33=3),0,IF(J33="",(K33*80),IF(K33="",J33*140,((J33*140)+(K33*80))))))))</f>
        <v>0</v>
      </c>
      <c r="M33" s="119"/>
      <c r="P33" s="197"/>
      <c r="Q33" s="263">
        <f t="shared" si="1"/>
        <v>0</v>
      </c>
      <c r="R33" s="263">
        <f t="shared" si="2"/>
        <v>0</v>
      </c>
      <c r="S33" s="263">
        <f t="shared" si="4"/>
        <v>0</v>
      </c>
      <c r="T33" s="263">
        <f t="shared" si="3"/>
        <v>0</v>
      </c>
    </row>
    <row r="34" spans="2:20" s="62" customFormat="1" ht="22" customHeight="1" thickBot="1" x14ac:dyDescent="0.4">
      <c r="B34" s="118"/>
      <c r="C34" s="498"/>
      <c r="D34" s="722"/>
      <c r="E34" s="688"/>
      <c r="F34" s="689" t="s">
        <v>407</v>
      </c>
      <c r="G34" s="679">
        <f>SUM(G19:G33)</f>
        <v>0</v>
      </c>
      <c r="H34" s="680"/>
      <c r="I34" s="681">
        <f>SUM(I19:I33)</f>
        <v>0</v>
      </c>
      <c r="J34" s="1059" t="s">
        <v>407</v>
      </c>
      <c r="K34" s="1060"/>
      <c r="L34" s="681">
        <f>SUM(L19:L33)</f>
        <v>0</v>
      </c>
      <c r="M34" s="119"/>
      <c r="O34" s="657" t="s">
        <v>66</v>
      </c>
      <c r="P34" s="499" t="s">
        <v>832</v>
      </c>
      <c r="Q34" s="263">
        <f>SUM(COUNTIF(F19:F33,"Oui")+SUM(COUNTIF(F19:F33,"non")))</f>
        <v>0</v>
      </c>
      <c r="R34" s="263"/>
    </row>
    <row r="35" spans="2:20" ht="10" customHeight="1" thickBot="1" x14ac:dyDescent="0.35">
      <c r="B35" s="193"/>
      <c r="C35" s="458"/>
      <c r="D35" s="458"/>
      <c r="E35" s="459"/>
      <c r="F35" s="460"/>
      <c r="G35" s="459"/>
      <c r="H35" s="459"/>
      <c r="I35" s="459"/>
      <c r="J35" s="461"/>
      <c r="K35" s="460"/>
      <c r="L35" s="459"/>
      <c r="M35" s="382"/>
      <c r="P35" s="500"/>
      <c r="Q35" s="263"/>
      <c r="R35" s="263"/>
    </row>
    <row r="36" spans="2:20" ht="15" thickBot="1" x14ac:dyDescent="0.35">
      <c r="O36" s="38"/>
      <c r="P36" s="499" t="s">
        <v>831</v>
      </c>
      <c r="Q36" s="263">
        <f>SUM(COUNTIF(F19:F33,"Oui"))</f>
        <v>0</v>
      </c>
      <c r="R36" s="263"/>
    </row>
    <row r="37" spans="2:20" s="62" customFormat="1" ht="44" customHeight="1" x14ac:dyDescent="0.35">
      <c r="B37" s="624"/>
      <c r="C37" s="1118" t="s">
        <v>701</v>
      </c>
      <c r="D37" s="1118"/>
      <c r="E37" s="1118"/>
      <c r="F37" s="1118"/>
      <c r="G37" s="1118"/>
      <c r="H37" s="1118"/>
      <c r="I37" s="1118"/>
      <c r="J37" s="1118"/>
      <c r="K37" s="1118"/>
      <c r="L37" s="1118"/>
      <c r="M37" s="625"/>
      <c r="P37" s="499" t="s">
        <v>573</v>
      </c>
      <c r="Q37" s="263">
        <f>SUM(COUNTIF(E19:E33,"Musicien (ne)")+COUNTIF(E19:E33,"Musicien (ne) et voix"))</f>
        <v>0</v>
      </c>
      <c r="R37" s="263"/>
    </row>
    <row r="38" spans="2:20" s="62" customFormat="1" ht="44" customHeight="1" x14ac:dyDescent="0.35">
      <c r="B38" s="626"/>
      <c r="C38" s="1119" t="s">
        <v>702</v>
      </c>
      <c r="D38" s="1119"/>
      <c r="E38" s="1119"/>
      <c r="F38" s="1119"/>
      <c r="G38" s="1119"/>
      <c r="H38" s="1119"/>
      <c r="I38" s="1119"/>
      <c r="J38" s="1119"/>
      <c r="K38" s="1119"/>
      <c r="L38" s="1119"/>
      <c r="M38" s="627"/>
      <c r="P38" s="499" t="s">
        <v>574</v>
      </c>
      <c r="Q38" s="263">
        <f>SUM(COUNTIF(E19:E33,"Directeur (trice) de tournée")+COUNTIF(E19:E33,"Éclairagiste")+COUNTIF(E19:E33,"Préposé(e) aux instruments")+COUNTIF(E19:E33,"Technicien (cienne) de son"))</f>
        <v>0</v>
      </c>
      <c r="R38" s="263"/>
    </row>
    <row r="39" spans="2:20" s="62" customFormat="1" ht="44" customHeight="1" thickBot="1" x14ac:dyDescent="0.4">
      <c r="B39" s="628"/>
      <c r="C39" s="1123" t="s">
        <v>704</v>
      </c>
      <c r="D39" s="1123"/>
      <c r="E39" s="1123"/>
      <c r="F39" s="1123"/>
      <c r="G39" s="1123"/>
      <c r="H39" s="1123"/>
      <c r="I39" s="1123"/>
      <c r="J39" s="1123"/>
      <c r="K39" s="1123"/>
      <c r="L39" s="1123"/>
      <c r="M39" s="629"/>
      <c r="P39" s="499" t="s">
        <v>716</v>
      </c>
      <c r="Q39" s="199">
        <f>SUM(COUNTIF(E19:E33,"Aide parentale"))</f>
        <v>0</v>
      </c>
      <c r="R39" s="199"/>
      <c r="S39" s="199"/>
      <c r="T39" s="199"/>
    </row>
  </sheetData>
  <sheetProtection algorithmName="SHA-512" hashValue="+Trluf3g85PBwTqEsBzhimGUTWVZtxDtxIT137qE0yGrC+5Y0mtE9pvNYWAKfidl5JUhPvd0+OW0K4E1MVKLZA==" saltValue="4ZTyHfm0duTWHSrsHWAE6w==" spinCount="100000" sheet="1" objects="1" scenarios="1" formatRows="0"/>
  <mergeCells count="21">
    <mergeCell ref="E1:M1"/>
    <mergeCell ref="P1:P4"/>
    <mergeCell ref="Q1:Q4"/>
    <mergeCell ref="S1:S4"/>
    <mergeCell ref="E2:M2"/>
    <mergeCell ref="H3:M3"/>
    <mergeCell ref="J4:M4"/>
    <mergeCell ref="C39:L39"/>
    <mergeCell ref="C7:L7"/>
    <mergeCell ref="C9:L9"/>
    <mergeCell ref="C12:L12"/>
    <mergeCell ref="C13:L13"/>
    <mergeCell ref="G15:I15"/>
    <mergeCell ref="J15:L15"/>
    <mergeCell ref="C10:L10"/>
    <mergeCell ref="O15:O18"/>
    <mergeCell ref="O22:O28"/>
    <mergeCell ref="J34:K34"/>
    <mergeCell ref="C37:L37"/>
    <mergeCell ref="C38:L38"/>
    <mergeCell ref="D15:F15"/>
  </mergeCells>
  <conditionalFormatting sqref="G19:G34">
    <cfRule type="expression" dxfId="25" priority="4">
      <formula>$F19="non"</formula>
    </cfRule>
  </conditionalFormatting>
  <conditionalFormatting sqref="I34">
    <cfRule type="expression" dxfId="24" priority="3">
      <formula>$F34="non"</formula>
    </cfRule>
  </conditionalFormatting>
  <conditionalFormatting sqref="L34">
    <cfRule type="expression" dxfId="23" priority="2">
      <formula>$F34="non"</formula>
    </cfRule>
  </conditionalFormatting>
  <conditionalFormatting sqref="O22:P28">
    <cfRule type="containsText" dxfId="22" priority="1" operator="containsText" text="Le nombre maximal de techniciens/directeurs (trice) de tournée admissibles est de trois">
      <formula>NOT(ISERROR(SEARCH("Le nombre maximal de techniciens/directeurs (trice) de tournée admissibles est de trois",O22)))</formula>
    </cfRule>
  </conditionalFormatting>
  <dataValidations count="2">
    <dataValidation type="whole" operator="lessThanOrEqual" allowBlank="1" showInputMessage="1" showErrorMessage="1" sqref="J19:J33" xr:uid="{A8D230CF-45D2-4620-82EC-08D80C6EDF8D}">
      <formula1>$J$18</formula1>
    </dataValidation>
    <dataValidation type="whole" operator="lessThanOrEqual" allowBlank="1" showInputMessage="1" showErrorMessage="1" sqref="K19:K33" xr:uid="{64FCCCE7-53C6-4FFA-ABB3-ACEAE3B7D871}">
      <formula1>$K$18</formula1>
    </dataValidation>
  </dataValidations>
  <hyperlinks>
    <hyperlink ref="C13:L13" location="RAPPORT_FINAL_Transport!F26" display="2. Ensuite, mettre à jour les tableaux des coûts de Transport cliquer ici" xr:uid="{9D45D143-4391-4C41-A879-A02BBA405728}"/>
    <hyperlink ref="O34" location="Rapport_Final!D16" display="accès rapide au rapport final" xr:uid="{C848B71D-DFC9-4D85-BC11-7B59B419B125}"/>
  </hyperlinks>
  <pageMargins left="0.25" right="0.25" top="0.75" bottom="0.75" header="0.3" footer="0.3"/>
  <pageSetup paperSize="3" scale="90" orientation="landscape" r:id="rId1"/>
  <ignoredErrors>
    <ignoredError sqref="D25:H26 D28:H33 D27 E27:H27 D19:E19 G19:H19 D20:E20 G20:H20 D21:E21 G21:H21 D22:E22 G22:H22 D23:E23 G23:H23 D24:E24 G24:H24 F19:F24 J19:K33"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Un maximum de 3 techniciens/directeur (trice) de tournée.  Le nombre de musiciens ne peut excéder la taille habituelle du groupe en spectacle." xr:uid="{3D2CCA30-107B-45E3-8EC6-14B664BAB761}">
          <x14:formula1>
            <xm:f>Paramètres!$H$1:$H$7</xm:f>
          </x14:formula1>
          <xm:sqref>E19:E33</xm:sqref>
        </x14:dataValidation>
        <x14:dataValidation type="list" allowBlank="1" showInputMessage="1" showErrorMessage="1" xr:uid="{2E5BE363-F4D4-4375-99C0-3BF17449BF71}">
          <x14:formula1>
            <xm:f>Paramètres!$I$1:$I$3</xm:f>
          </x14:formula1>
          <xm:sqref>H19:H33</xm:sqref>
        </x14:dataValidation>
        <x14:dataValidation type="list" allowBlank="1" showInputMessage="1" showErrorMessage="1" xr:uid="{6274B775-F595-4EFF-8AB9-5F1C3607EBCC}">
          <x14:formula1>
            <xm:f>Paramètres!$A$2:$A$3</xm:f>
          </x14:formula1>
          <xm:sqref>F19:F33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C4CF-7913-4A67-B387-10D113ACFCE5}">
  <sheetPr>
    <tabColor rgb="FF8FE2FF"/>
    <pageSetUpPr fitToPage="1"/>
  </sheetPr>
  <dimension ref="B1:AH59"/>
  <sheetViews>
    <sheetView showGridLines="0" zoomScale="90" zoomScaleNormal="90" workbookViewId="0">
      <selection activeCell="C7" sqref="C7:Y7"/>
    </sheetView>
  </sheetViews>
  <sheetFormatPr baseColWidth="10" defaultColWidth="10.81640625" defaultRowHeight="14" x14ac:dyDescent="0.3"/>
  <cols>
    <col min="1" max="1" width="1.54296875" style="1" customWidth="1"/>
    <col min="2" max="2" width="2.54296875" style="1" customWidth="1"/>
    <col min="3" max="3" width="36.6328125" style="418" customWidth="1"/>
    <col min="4" max="4" width="14.6328125" style="2" customWidth="1"/>
    <col min="5" max="6" width="18.6328125" style="1" customWidth="1"/>
    <col min="7" max="7" width="11.6328125" style="1" customWidth="1"/>
    <col min="8" max="8" width="2.6328125" style="1" customWidth="1"/>
    <col min="9" max="9" width="5.6328125" style="1" customWidth="1"/>
    <col min="10" max="10" width="2.6328125" style="1" customWidth="1"/>
    <col min="11" max="11" width="26.6328125" style="1" customWidth="1"/>
    <col min="12" max="12" width="18.6328125" style="1" customWidth="1"/>
    <col min="13" max="13" width="11.6328125" style="1" customWidth="1"/>
    <col min="14" max="14" width="5.6328125" style="1" customWidth="1"/>
    <col min="15" max="15" width="26.6328125" style="1" customWidth="1"/>
    <col min="16" max="16" width="18.6328125" style="1" customWidth="1"/>
    <col min="17" max="17" width="11.6328125" style="1" customWidth="1"/>
    <col min="18" max="18" width="2.6328125" style="1" customWidth="1"/>
    <col min="19" max="19" width="5.6328125" style="1" customWidth="1"/>
    <col min="20" max="20" width="2.6328125" style="1" customWidth="1"/>
    <col min="21" max="21" width="34.6328125" style="1" customWidth="1"/>
    <col min="22" max="22" width="14.6328125" style="1" customWidth="1"/>
    <col min="23" max="24" width="18.6328125" style="1" customWidth="1"/>
    <col min="25" max="25" width="11.6328125" style="1" customWidth="1"/>
    <col min="26" max="26" width="2.6328125" style="1" customWidth="1"/>
    <col min="27" max="27" width="1.6328125" style="1" customWidth="1"/>
    <col min="28" max="28" width="28.6328125" style="1" customWidth="1"/>
    <col min="29" max="16384" width="10.81640625" style="1"/>
  </cols>
  <sheetData>
    <row r="1" spans="2:34" s="62" customFormat="1" ht="36" customHeight="1" x14ac:dyDescent="0.35">
      <c r="C1" s="470"/>
      <c r="D1" s="400"/>
      <c r="E1" s="400"/>
      <c r="F1" s="400"/>
      <c r="G1" s="400"/>
      <c r="H1" s="400"/>
      <c r="I1" s="400"/>
      <c r="J1" s="400"/>
      <c r="K1" s="400"/>
      <c r="L1" s="400"/>
      <c r="N1" s="400"/>
      <c r="O1" s="893" t="s">
        <v>571</v>
      </c>
      <c r="P1" s="893"/>
      <c r="Q1" s="893"/>
      <c r="R1" s="893"/>
      <c r="S1" s="893"/>
      <c r="T1" s="893"/>
      <c r="U1" s="893"/>
      <c r="V1" s="893"/>
      <c r="W1" s="893"/>
      <c r="X1" s="893"/>
      <c r="Y1" s="893"/>
      <c r="Z1" s="893"/>
      <c r="AA1" s="104"/>
      <c r="AB1" s="104"/>
      <c r="AC1" s="104"/>
      <c r="AD1" s="104"/>
      <c r="AE1" s="104"/>
      <c r="AF1" s="104"/>
      <c r="AG1" s="104"/>
      <c r="AH1" s="104"/>
    </row>
    <row r="2" spans="2:34" s="62" customFormat="1" ht="16" customHeight="1" x14ac:dyDescent="0.35">
      <c r="C2" s="470"/>
      <c r="D2" s="509"/>
      <c r="E2" s="509"/>
      <c r="F2" s="509"/>
      <c r="G2" s="509"/>
      <c r="H2" s="509"/>
      <c r="I2" s="509"/>
      <c r="J2" s="509"/>
      <c r="K2" s="509"/>
      <c r="L2" s="509"/>
      <c r="M2" s="509"/>
      <c r="N2" s="509"/>
      <c r="P2" s="899" t="s">
        <v>87</v>
      </c>
      <c r="Q2" s="899"/>
      <c r="R2" s="899"/>
      <c r="S2" s="899"/>
      <c r="T2" s="899"/>
      <c r="U2" s="899"/>
      <c r="V2" s="899"/>
      <c r="W2" s="899"/>
      <c r="X2" s="899"/>
      <c r="Y2" s="899"/>
      <c r="Z2" s="899"/>
      <c r="AA2" s="107"/>
      <c r="AB2" s="107"/>
      <c r="AC2" s="107"/>
      <c r="AD2" s="107"/>
      <c r="AE2" s="107"/>
      <c r="AF2" s="107"/>
      <c r="AG2" s="107"/>
      <c r="AH2" s="107"/>
    </row>
    <row r="3" spans="2:34" s="62" customFormat="1" ht="16" customHeight="1" x14ac:dyDescent="0.35">
      <c r="C3" s="470"/>
      <c r="D3" s="223"/>
      <c r="E3" s="426"/>
      <c r="F3" s="561"/>
      <c r="G3" s="426"/>
      <c r="H3" s="426"/>
      <c r="I3" s="426"/>
      <c r="J3" s="426"/>
      <c r="K3" s="426"/>
      <c r="M3" s="426"/>
      <c r="N3" s="426"/>
      <c r="O3" s="426"/>
      <c r="P3" s="426"/>
      <c r="U3" s="900" t="s">
        <v>635</v>
      </c>
      <c r="V3" s="900"/>
      <c r="W3" s="900"/>
      <c r="X3" s="900"/>
      <c r="Y3" s="900"/>
      <c r="Z3" s="900"/>
      <c r="AB3" s="303"/>
      <c r="AC3" s="303"/>
      <c r="AD3" s="303"/>
      <c r="AE3" s="303"/>
      <c r="AF3" s="303"/>
    </row>
    <row r="4" spans="2:34" s="62" customFormat="1" ht="12" customHeight="1" x14ac:dyDescent="0.35">
      <c r="C4" s="470"/>
      <c r="F4" s="561"/>
      <c r="T4" s="513"/>
      <c r="U4" s="513"/>
      <c r="W4" s="513"/>
      <c r="X4" s="898" t="s">
        <v>858</v>
      </c>
      <c r="Y4" s="898"/>
      <c r="Z4" s="898"/>
    </row>
    <row r="5" spans="2:34" ht="26" customHeight="1" thickBot="1" x14ac:dyDescent="0.35">
      <c r="D5" s="1"/>
    </row>
    <row r="6" spans="2:34" ht="10" customHeight="1" x14ac:dyDescent="0.3">
      <c r="B6" s="514"/>
      <c r="C6" s="515"/>
      <c r="D6" s="516"/>
      <c r="E6" s="517"/>
      <c r="F6" s="517"/>
      <c r="G6" s="517"/>
      <c r="H6" s="517"/>
      <c r="I6" s="517"/>
      <c r="J6" s="517"/>
      <c r="K6" s="517"/>
      <c r="L6" s="517"/>
      <c r="M6" s="517"/>
      <c r="N6" s="517"/>
      <c r="O6" s="517"/>
      <c r="P6" s="517"/>
      <c r="Q6" s="517"/>
      <c r="R6" s="517"/>
      <c r="S6" s="517"/>
      <c r="T6" s="517"/>
      <c r="U6" s="517"/>
      <c r="V6" s="517"/>
      <c r="W6" s="517"/>
      <c r="X6" s="517"/>
      <c r="Y6" s="517"/>
      <c r="Z6" s="519"/>
    </row>
    <row r="7" spans="2:34" ht="28" customHeight="1" x14ac:dyDescent="0.3">
      <c r="B7" s="520"/>
      <c r="C7" s="1142" t="s">
        <v>64</v>
      </c>
      <c r="D7" s="1142"/>
      <c r="E7" s="1142"/>
      <c r="F7" s="1142"/>
      <c r="G7" s="1142"/>
      <c r="H7" s="1142"/>
      <c r="I7" s="1142"/>
      <c r="J7" s="1142"/>
      <c r="K7" s="1142"/>
      <c r="L7" s="1142"/>
      <c r="M7" s="1142"/>
      <c r="N7" s="1142"/>
      <c r="O7" s="1142"/>
      <c r="P7" s="1142"/>
      <c r="Q7" s="1142"/>
      <c r="R7" s="1142"/>
      <c r="S7" s="1142"/>
      <c r="T7" s="1142"/>
      <c r="U7" s="1142"/>
      <c r="V7" s="1142"/>
      <c r="W7" s="1142"/>
      <c r="X7" s="1142"/>
      <c r="Y7" s="1142"/>
      <c r="Z7" s="521"/>
    </row>
    <row r="8" spans="2:34" s="62" customFormat="1" ht="28" customHeight="1" x14ac:dyDescent="0.3">
      <c r="B8" s="520"/>
      <c r="C8" s="1141" t="s">
        <v>695</v>
      </c>
      <c r="D8" s="1141"/>
      <c r="E8" s="1141"/>
      <c r="F8" s="1141"/>
      <c r="G8" s="1141"/>
      <c r="H8" s="1141"/>
      <c r="I8" s="1141"/>
      <c r="J8" s="1141"/>
      <c r="K8" s="1141"/>
      <c r="L8" s="1141"/>
      <c r="M8" s="1141"/>
      <c r="N8" s="1141"/>
      <c r="O8" s="1141"/>
      <c r="P8" s="1141"/>
      <c r="Q8" s="1141"/>
      <c r="R8" s="1141"/>
      <c r="S8" s="1141"/>
      <c r="T8" s="1141"/>
      <c r="U8" s="1141"/>
      <c r="V8" s="1141"/>
      <c r="W8" s="1141"/>
      <c r="X8" s="1141"/>
      <c r="Y8" s="1141"/>
      <c r="Z8" s="630"/>
    </row>
    <row r="9" spans="2:34" ht="10" customHeight="1" x14ac:dyDescent="0.3">
      <c r="B9" s="520"/>
      <c r="C9" s="251"/>
      <c r="E9" s="525"/>
      <c r="Z9" s="521"/>
    </row>
    <row r="10" spans="2:34" s="62" customFormat="1" ht="22" customHeight="1" x14ac:dyDescent="0.35">
      <c r="B10" s="522"/>
      <c r="C10" s="631" t="s">
        <v>780</v>
      </c>
      <c r="D10" s="526" t="s">
        <v>786</v>
      </c>
      <c r="E10" s="1140" t="s">
        <v>801</v>
      </c>
      <c r="F10" s="1140"/>
      <c r="G10" s="1140"/>
      <c r="H10" s="1140"/>
      <c r="I10" s="1140"/>
      <c r="J10" s="1140"/>
      <c r="K10" s="1140"/>
      <c r="L10" s="1140"/>
      <c r="M10" s="1140"/>
      <c r="N10" s="1140"/>
      <c r="O10" s="1140"/>
      <c r="P10" s="526"/>
      <c r="Q10" s="526"/>
      <c r="R10" s="526"/>
      <c r="S10" s="526"/>
      <c r="T10" s="526"/>
      <c r="U10" s="526"/>
      <c r="V10" s="526"/>
      <c r="W10" s="526"/>
      <c r="X10" s="526"/>
      <c r="Y10" s="526"/>
      <c r="Z10" s="632"/>
    </row>
    <row r="11" spans="2:34" s="62" customFormat="1" ht="22" customHeight="1" x14ac:dyDescent="0.35">
      <c r="B11" s="522"/>
      <c r="C11" s="631" t="s">
        <v>781</v>
      </c>
      <c r="D11" s="526" t="s">
        <v>787</v>
      </c>
      <c r="E11" s="1140" t="s">
        <v>802</v>
      </c>
      <c r="F11" s="1140"/>
      <c r="G11" s="1140"/>
      <c r="H11" s="1140"/>
      <c r="I11" s="1140"/>
      <c r="J11" s="1140"/>
      <c r="K11" s="1140"/>
      <c r="L11" s="1140"/>
      <c r="M11" s="1140"/>
      <c r="N11" s="1140"/>
      <c r="O11" s="1140"/>
      <c r="P11" s="526"/>
      <c r="Q11" s="526"/>
      <c r="R11" s="526"/>
      <c r="S11" s="526"/>
      <c r="T11" s="526"/>
      <c r="U11" s="526"/>
      <c r="V11" s="526"/>
      <c r="W11" s="526"/>
      <c r="X11" s="526"/>
      <c r="Y11" s="526"/>
      <c r="Z11" s="632"/>
    </row>
    <row r="12" spans="2:34" s="62" customFormat="1" ht="22" customHeight="1" x14ac:dyDescent="0.35">
      <c r="B12" s="522"/>
      <c r="C12" s="633"/>
      <c r="D12" s="526"/>
      <c r="E12" s="1140" t="s">
        <v>694</v>
      </c>
      <c r="F12" s="1140"/>
      <c r="G12" s="1140"/>
      <c r="H12" s="1140"/>
      <c r="I12" s="1140"/>
      <c r="J12" s="1140"/>
      <c r="K12" s="1140"/>
      <c r="L12" s="1140"/>
      <c r="M12" s="1140"/>
      <c r="N12" s="1140"/>
      <c r="O12" s="1140"/>
      <c r="P12" s="526"/>
      <c r="Q12" s="526"/>
      <c r="R12" s="526"/>
      <c r="S12" s="526"/>
      <c r="T12" s="526"/>
      <c r="U12" s="526"/>
      <c r="V12" s="526"/>
      <c r="W12" s="526"/>
      <c r="X12" s="526"/>
      <c r="Y12" s="526"/>
      <c r="Z12" s="632"/>
    </row>
    <row r="13" spans="2:34" s="62" customFormat="1" ht="10" customHeight="1" x14ac:dyDescent="0.35">
      <c r="B13" s="522"/>
      <c r="C13" s="633"/>
      <c r="D13" s="526"/>
      <c r="E13" s="525"/>
      <c r="F13" s="526"/>
      <c r="G13" s="526"/>
      <c r="H13" s="526"/>
      <c r="I13" s="526"/>
      <c r="J13" s="526"/>
      <c r="K13" s="526"/>
      <c r="L13" s="526"/>
      <c r="M13" s="526"/>
      <c r="N13" s="526"/>
      <c r="O13" s="526"/>
      <c r="P13" s="526"/>
      <c r="Q13" s="526"/>
      <c r="R13" s="526"/>
      <c r="S13" s="526"/>
      <c r="T13" s="526"/>
      <c r="U13" s="526"/>
      <c r="V13" s="526"/>
      <c r="W13" s="526"/>
      <c r="X13" s="526"/>
      <c r="Y13" s="526"/>
      <c r="Z13" s="632"/>
    </row>
    <row r="14" spans="2:34" s="62" customFormat="1" ht="22" customHeight="1" x14ac:dyDescent="0.35">
      <c r="B14" s="522"/>
      <c r="C14" s="631" t="s">
        <v>782</v>
      </c>
      <c r="D14" s="526" t="s">
        <v>788</v>
      </c>
      <c r="E14" s="1140" t="s">
        <v>803</v>
      </c>
      <c r="F14" s="1140"/>
      <c r="G14" s="1140"/>
      <c r="H14" s="1140"/>
      <c r="I14" s="1140"/>
      <c r="J14" s="1140"/>
      <c r="K14" s="1140"/>
      <c r="L14" s="1140"/>
      <c r="M14" s="1140"/>
      <c r="N14" s="1140"/>
      <c r="O14" s="1140"/>
      <c r="P14" s="526"/>
      <c r="Q14" s="526"/>
      <c r="R14" s="526"/>
      <c r="S14" s="526"/>
      <c r="T14" s="526"/>
      <c r="U14" s="526"/>
      <c r="V14" s="526"/>
      <c r="W14" s="526"/>
      <c r="X14" s="526"/>
      <c r="Y14" s="526"/>
      <c r="Z14" s="632"/>
    </row>
    <row r="15" spans="2:34" s="62" customFormat="1" ht="22" customHeight="1" x14ac:dyDescent="0.35">
      <c r="B15" s="522"/>
      <c r="C15" s="631" t="s">
        <v>783</v>
      </c>
      <c r="D15" s="526" t="s">
        <v>799</v>
      </c>
      <c r="E15" s="1140" t="s">
        <v>804</v>
      </c>
      <c r="F15" s="1140"/>
      <c r="G15" s="1140"/>
      <c r="H15" s="1140"/>
      <c r="I15" s="1140"/>
      <c r="J15" s="1140"/>
      <c r="K15" s="1140"/>
      <c r="L15" s="1140"/>
      <c r="M15" s="1140"/>
      <c r="N15" s="1140"/>
      <c r="O15" s="1140"/>
      <c r="P15" s="1140"/>
      <c r="Q15" s="1140"/>
      <c r="R15" s="526"/>
      <c r="S15" s="526"/>
      <c r="T15" s="526"/>
      <c r="U15" s="526"/>
      <c r="V15" s="526"/>
      <c r="W15" s="526"/>
      <c r="X15" s="526"/>
      <c r="Y15" s="526"/>
      <c r="Z15" s="632"/>
    </row>
    <row r="16" spans="2:34" s="62" customFormat="1" ht="10" customHeight="1" x14ac:dyDescent="0.35">
      <c r="B16" s="522"/>
      <c r="C16" s="633"/>
      <c r="D16" s="526"/>
      <c r="E16" s="525"/>
      <c r="F16" s="526"/>
      <c r="G16" s="526"/>
      <c r="H16" s="526"/>
      <c r="I16" s="526"/>
      <c r="J16" s="526"/>
      <c r="K16" s="526"/>
      <c r="L16" s="526"/>
      <c r="M16" s="526"/>
      <c r="N16" s="526"/>
      <c r="O16" s="526"/>
      <c r="P16" s="526"/>
      <c r="Q16" s="526"/>
      <c r="R16" s="526"/>
      <c r="S16" s="526"/>
      <c r="T16" s="526"/>
      <c r="U16" s="526"/>
      <c r="V16" s="526"/>
      <c r="W16" s="526"/>
      <c r="X16" s="526"/>
      <c r="Y16" s="526"/>
      <c r="Z16" s="632"/>
    </row>
    <row r="17" spans="2:27" s="62" customFormat="1" ht="22" customHeight="1" x14ac:dyDescent="0.35">
      <c r="B17" s="522"/>
      <c r="C17" s="631" t="s">
        <v>784</v>
      </c>
      <c r="D17" s="526" t="s">
        <v>800</v>
      </c>
      <c r="E17" s="1140" t="s">
        <v>743</v>
      </c>
      <c r="F17" s="1140"/>
      <c r="G17" s="1140"/>
      <c r="H17" s="1140"/>
      <c r="I17" s="1140"/>
      <c r="J17" s="1140"/>
      <c r="K17" s="1140"/>
      <c r="L17" s="1140"/>
      <c r="M17" s="1140"/>
      <c r="N17" s="1140"/>
      <c r="O17" s="1140"/>
      <c r="P17" s="1140"/>
      <c r="Q17" s="1140"/>
      <c r="R17" s="526"/>
      <c r="S17" s="526"/>
      <c r="T17" s="526"/>
      <c r="U17" s="526"/>
      <c r="V17" s="526"/>
      <c r="W17" s="526"/>
      <c r="X17" s="526"/>
      <c r="Y17" s="526"/>
      <c r="Z17" s="632"/>
    </row>
    <row r="18" spans="2:27" s="62" customFormat="1" ht="10" customHeight="1" x14ac:dyDescent="0.35">
      <c r="B18" s="522"/>
      <c r="C18" s="634"/>
      <c r="D18" s="526"/>
      <c r="E18" s="525"/>
      <c r="F18" s="526"/>
      <c r="G18" s="526"/>
      <c r="H18" s="526"/>
      <c r="I18" s="526"/>
      <c r="J18" s="526"/>
      <c r="K18" s="526"/>
      <c r="L18" s="526"/>
      <c r="M18" s="526"/>
      <c r="N18" s="526"/>
      <c r="O18" s="526"/>
      <c r="P18" s="526"/>
      <c r="Q18" s="526"/>
      <c r="R18" s="526"/>
      <c r="S18" s="526"/>
      <c r="T18" s="526"/>
      <c r="U18" s="526"/>
      <c r="V18" s="526"/>
      <c r="W18" s="526"/>
      <c r="X18" s="526"/>
      <c r="Y18" s="526"/>
      <c r="Z18" s="632"/>
    </row>
    <row r="19" spans="2:27" s="62" customFormat="1" ht="22" customHeight="1" x14ac:dyDescent="0.35">
      <c r="B19" s="522"/>
      <c r="C19" s="631" t="s">
        <v>785</v>
      </c>
      <c r="D19" s="526"/>
      <c r="E19" s="1143" t="s">
        <v>805</v>
      </c>
      <c r="F19" s="1143"/>
      <c r="G19" s="1143"/>
      <c r="H19" s="1143"/>
      <c r="I19" s="1143"/>
      <c r="J19" s="1143"/>
      <c r="K19" s="1143"/>
      <c r="L19" s="526"/>
      <c r="M19" s="526"/>
      <c r="N19" s="526"/>
      <c r="O19" s="526"/>
      <c r="P19" s="526"/>
      <c r="Q19" s="526"/>
      <c r="R19" s="526"/>
      <c r="S19" s="526"/>
      <c r="T19" s="526"/>
      <c r="U19" s="526"/>
      <c r="V19" s="526"/>
      <c r="W19" s="526"/>
      <c r="X19" s="526"/>
      <c r="Y19" s="526"/>
      <c r="Z19" s="632"/>
    </row>
    <row r="20" spans="2:27" s="62" customFormat="1" ht="10" customHeight="1" thickBot="1" x14ac:dyDescent="0.4">
      <c r="B20" s="537"/>
      <c r="C20" s="635"/>
      <c r="D20" s="636"/>
      <c r="E20" s="540"/>
      <c r="F20" s="540"/>
      <c r="G20" s="540"/>
      <c r="H20" s="540"/>
      <c r="I20" s="540"/>
      <c r="J20" s="540"/>
      <c r="K20" s="540"/>
      <c r="L20" s="540"/>
      <c r="M20" s="540"/>
      <c r="N20" s="540"/>
      <c r="O20" s="540"/>
      <c r="P20" s="540"/>
      <c r="Q20" s="540"/>
      <c r="R20" s="540"/>
      <c r="S20" s="540"/>
      <c r="T20" s="540"/>
      <c r="U20" s="540"/>
      <c r="V20" s="540"/>
      <c r="W20" s="540"/>
      <c r="X20" s="540"/>
      <c r="Y20" s="540"/>
      <c r="Z20" s="541"/>
    </row>
    <row r="21" spans="2:27" s="62" customFormat="1" ht="10" customHeight="1" thickBot="1" x14ac:dyDescent="0.4">
      <c r="C21" s="470"/>
      <c r="D21" s="370"/>
    </row>
    <row r="22" spans="2:27" ht="10" customHeight="1" x14ac:dyDescent="0.3">
      <c r="B22" s="393"/>
      <c r="C22" s="431"/>
      <c r="D22" s="403"/>
      <c r="E22" s="432"/>
      <c r="F22" s="432"/>
      <c r="G22" s="432"/>
      <c r="H22" s="394"/>
      <c r="J22" s="393"/>
      <c r="K22" s="432"/>
      <c r="L22" s="432"/>
      <c r="M22" s="432"/>
      <c r="N22" s="432"/>
      <c r="O22" s="432"/>
      <c r="P22" s="432"/>
      <c r="Q22" s="432"/>
      <c r="R22" s="394"/>
      <c r="T22" s="393"/>
      <c r="U22" s="431"/>
      <c r="V22" s="403"/>
      <c r="W22" s="432"/>
      <c r="X22" s="432"/>
      <c r="Y22" s="432"/>
      <c r="Z22" s="394"/>
    </row>
    <row r="23" spans="2:27" ht="50" customHeight="1" x14ac:dyDescent="0.3">
      <c r="B23" s="171"/>
      <c r="C23" s="1136" t="s">
        <v>575</v>
      </c>
      <c r="D23" s="1137"/>
      <c r="E23" s="1137"/>
      <c r="F23" s="1137"/>
      <c r="G23" s="1138"/>
      <c r="H23" s="544"/>
      <c r="I23" s="545"/>
      <c r="J23" s="546"/>
      <c r="K23" s="1136" t="s">
        <v>680</v>
      </c>
      <c r="L23" s="1137"/>
      <c r="M23" s="1137"/>
      <c r="N23" s="1137"/>
      <c r="O23" s="1137"/>
      <c r="P23" s="1137"/>
      <c r="Q23" s="1138"/>
      <c r="R23" s="547"/>
      <c r="S23" s="545"/>
      <c r="T23" s="171"/>
      <c r="U23" s="1136" t="s">
        <v>593</v>
      </c>
      <c r="V23" s="1137"/>
      <c r="W23" s="1137"/>
      <c r="X23" s="1137"/>
      <c r="Y23" s="1138"/>
      <c r="Z23" s="544"/>
      <c r="AA23" s="548"/>
    </row>
    <row r="24" spans="2:27" ht="10" customHeight="1" x14ac:dyDescent="0.3">
      <c r="B24" s="171"/>
      <c r="H24" s="326"/>
      <c r="J24" s="171"/>
      <c r="R24" s="326"/>
      <c r="T24" s="171"/>
      <c r="U24" s="418"/>
      <c r="V24" s="2"/>
      <c r="Z24" s="326"/>
    </row>
    <row r="25" spans="2:27" s="62" customFormat="1" ht="60" customHeight="1" x14ac:dyDescent="0.35">
      <c r="B25" s="118"/>
      <c r="C25" s="637" t="s">
        <v>597</v>
      </c>
      <c r="D25" s="638" t="s">
        <v>596</v>
      </c>
      <c r="E25" s="639" t="s">
        <v>655</v>
      </c>
      <c r="F25" s="640" t="s">
        <v>656</v>
      </c>
      <c r="G25" s="641" t="s">
        <v>658</v>
      </c>
      <c r="H25" s="553"/>
      <c r="I25" s="554"/>
      <c r="J25" s="555"/>
      <c r="K25" s="641" t="s">
        <v>693</v>
      </c>
      <c r="L25" s="641" t="s">
        <v>595</v>
      </c>
      <c r="M25" s="641" t="s">
        <v>658</v>
      </c>
      <c r="O25" s="641" t="s">
        <v>691</v>
      </c>
      <c r="P25" s="641" t="s">
        <v>837</v>
      </c>
      <c r="Q25" s="641" t="s">
        <v>658</v>
      </c>
      <c r="R25" s="553"/>
      <c r="S25" s="554"/>
      <c r="T25" s="118"/>
      <c r="U25" s="639" t="s">
        <v>623</v>
      </c>
      <c r="V25" s="638" t="s">
        <v>596</v>
      </c>
      <c r="W25" s="639" t="s">
        <v>655</v>
      </c>
      <c r="X25" s="640" t="s">
        <v>656</v>
      </c>
      <c r="Y25" s="641" t="s">
        <v>658</v>
      </c>
      <c r="Z25" s="553"/>
      <c r="AA25" s="554"/>
    </row>
    <row r="26" spans="2:27" s="62" customFormat="1" ht="26" customHeight="1" x14ac:dyDescent="0.35">
      <c r="B26" s="118"/>
      <c r="C26" s="803" t="str">
        <f>IF(DEMANDE_Transport!C30="Location véhicule-Sélectionner dans la liste","Sélection à déterminer",DEMANDE_Transport!C30)</f>
        <v>Sélection à déterminer</v>
      </c>
      <c r="D26" s="804" t="str">
        <f>IF(DEMANDE_Transport!D30="","",DEMANDE_Transport!D30)</f>
        <v/>
      </c>
      <c r="E26" s="557" t="str">
        <f>IF(D26="","",DEMANDE_Équipe_Tournée!$Q$35)</f>
        <v/>
      </c>
      <c r="F26" s="558" t="str">
        <f>IF(D26="","",DEMANDE_Équipe_Tournée!$Q$33-DEMANDE_Équipe_Tournée!$Q$35)</f>
        <v/>
      </c>
      <c r="G26" s="559">
        <f>IF(D26="",0,IF(E26&gt;=((E26+F26)*0.5),D26*0.4,(D26/DEMANDE_Équipe_Tournée!$Q$33*DEMANDE_Équipe_Tournée!$Q$35*0.4)))</f>
        <v>0</v>
      </c>
      <c r="H26" s="560"/>
      <c r="I26" s="561"/>
      <c r="J26" s="562"/>
      <c r="K26" s="800" t="str">
        <f>IF(C26="Bus 24-56 passagers à essence",C26,IF(C26="Camionnette 8-18 passagers à essence",C26,IF(C26="Voiture à essence",C26,"")))</f>
        <v/>
      </c>
      <c r="L26" s="802">
        <f>IF(DEMANDE_Transport!N30="","",DEMANDE_Transport!N30)</f>
        <v>0</v>
      </c>
      <c r="M26" s="790">
        <f>IF(L26="","",(L26*0.4))</f>
        <v>0</v>
      </c>
      <c r="O26" s="800" t="str">
        <f>IF(C26="Bus 24-56 passagers électrique",C26,IF(C26="Camionnette 8-18 passagers électrique",C26,IF(C26="Voiture électrique",C26,"")))</f>
        <v/>
      </c>
      <c r="P26" s="802">
        <f>IF(DEMANDE_Transport!S30="",0,DEMANDE_Transport!S30)</f>
        <v>0</v>
      </c>
      <c r="Q26" s="790">
        <f>IF(P26="","",(P26*0.4))</f>
        <v>0</v>
      </c>
      <c r="R26" s="560"/>
      <c r="S26" s="561"/>
      <c r="T26" s="118"/>
      <c r="U26" s="556" t="s">
        <v>355</v>
      </c>
      <c r="V26" s="804">
        <f>IF(DEMANDE_Transport!Y30="",0,DEMANDE_Transport!Y30)</f>
        <v>0</v>
      </c>
      <c r="W26" s="788" t="str">
        <f>IF(V26=0,"",DEMANDE_Équipe_Tournée!$Q$35)</f>
        <v/>
      </c>
      <c r="X26" s="789" t="str">
        <f>IF(V26=0,"",DEMANDE_Équipe_Tournée!$Q$33-DEMANDE_Équipe_Tournée!$Q$35)</f>
        <v/>
      </c>
      <c r="Y26" s="790">
        <f>IFERROR(V26/DEMANDE_Équipe_Tournée!$Q$33*DEMANDE_Équipe_Tournée!$Q$35*0.4,0)</f>
        <v>0</v>
      </c>
      <c r="Z26" s="560"/>
      <c r="AA26" s="561"/>
    </row>
    <row r="27" spans="2:27" s="62" customFormat="1" ht="26" customHeight="1" x14ac:dyDescent="0.35">
      <c r="B27" s="118"/>
      <c r="C27" s="803" t="str">
        <f>IF(DEMANDE_Transport!C31="Location véhicule-Sélectionner dans la liste","Sélection à déterminer",DEMANDE_Transport!C31)</f>
        <v>Sélection à déterminer</v>
      </c>
      <c r="D27" s="804" t="str">
        <f>IF(DEMANDE_Transport!D31="","",DEMANDE_Transport!D31)</f>
        <v/>
      </c>
      <c r="E27" s="557" t="str">
        <f>IF(D27="","",DEMANDE_Équipe_Tournée!$Q$35)</f>
        <v/>
      </c>
      <c r="F27" s="558" t="str">
        <f>IF(D27="","",DEMANDE_Équipe_Tournée!$Q$33-DEMANDE_Équipe_Tournée!$Q$35)</f>
        <v/>
      </c>
      <c r="G27" s="559">
        <f>IF(D27="",0,IF(E27&gt;=((E27+F27)*0.5),D27*0.4,(D27/DEMANDE_Équipe_Tournée!$Q$33*DEMANDE_Équipe_Tournée!$Q$35*0.4)))</f>
        <v>0</v>
      </c>
      <c r="H27" s="560"/>
      <c r="I27" s="561"/>
      <c r="J27" s="562"/>
      <c r="K27" s="800" t="str">
        <f>IF(C27="Bus 24-56 passagers à essence",C27,IF(C27="Camionnette 8-18 passagers à essence",C27,IF(C27="Voiture à essence",C27,"")))</f>
        <v/>
      </c>
      <c r="L27" s="802">
        <f>IF(DEMANDE_Transport!N31="","",DEMANDE_Transport!N31)</f>
        <v>0</v>
      </c>
      <c r="M27" s="790">
        <f>IF(L27="","",(L27*0.4))</f>
        <v>0</v>
      </c>
      <c r="O27" s="800" t="str">
        <f>IF(C27="Bus 24-56 passagers électrique",C27,IF(C27="Camionnette 8-18 passagers électrique",C27,IF(C27="Voiture électrique",C27,"")))</f>
        <v/>
      </c>
      <c r="P27" s="802">
        <f>IF(DEMANDE_Transport!S31="",0,DEMANDE_Transport!S31)</f>
        <v>0</v>
      </c>
      <c r="Q27" s="790">
        <f>IF(P27="","",(P27*0.4))</f>
        <v>0</v>
      </c>
      <c r="R27" s="560"/>
      <c r="S27" s="561"/>
      <c r="T27" s="118"/>
      <c r="U27" s="556" t="s">
        <v>566</v>
      </c>
      <c r="V27" s="804">
        <f>IF(DEMANDE_Transport!Y31="",0,DEMANDE_Transport!Y31)</f>
        <v>0</v>
      </c>
      <c r="W27" s="788" t="str">
        <f>IF(V27=0,"",DEMANDE_Équipe_Tournée!$Q$35)</f>
        <v/>
      </c>
      <c r="X27" s="789" t="str">
        <f>IF(V27=0,"",DEMANDE_Équipe_Tournée!$Q$33-DEMANDE_Équipe_Tournée!$Q$35)</f>
        <v/>
      </c>
      <c r="Y27" s="790">
        <f>IFERROR(V27/DEMANDE_Équipe_Tournée!$Q$33*DEMANDE_Équipe_Tournée!$Q$35*0.4,0)</f>
        <v>0</v>
      </c>
      <c r="Z27" s="560"/>
      <c r="AA27" s="561"/>
    </row>
    <row r="28" spans="2:27" s="62" customFormat="1" ht="26" customHeight="1" thickBot="1" x14ac:dyDescent="0.4">
      <c r="B28" s="118"/>
      <c r="C28" s="803" t="str">
        <f>IF(DEMANDE_Transport!C32="Location véhicule-Sélectionner dans la liste","Sélection à déterminer",DEMANDE_Transport!C32)</f>
        <v>Sélection à déterminer</v>
      </c>
      <c r="D28" s="804" t="str">
        <f>IF(DEMANDE_Transport!D32="","",DEMANDE_Transport!D32)</f>
        <v/>
      </c>
      <c r="E28" s="557" t="str">
        <f>IF(D28="","",DEMANDE_Équipe_Tournée!$Q$35)</f>
        <v/>
      </c>
      <c r="F28" s="558" t="str">
        <f>IF(D28="","",DEMANDE_Équipe_Tournée!$Q$33-DEMANDE_Équipe_Tournée!$Q$35)</f>
        <v/>
      </c>
      <c r="G28" s="559">
        <f>IF(D28="",0,IF(E28&gt;=((E28+F28)*0.5),D28*0.4,(D28/DEMANDE_Équipe_Tournée!$Q$33*DEMANDE_Équipe_Tournée!$Q$35*0.4)))</f>
        <v>0</v>
      </c>
      <c r="H28" s="560"/>
      <c r="I28" s="561"/>
      <c r="J28" s="562"/>
      <c r="K28" s="801" t="str">
        <f>IF(C28="Bus 24-56 passagers à essence",C28,IF(C28="Camionnette 8-18 passagers à essence",C28,IF(C28="Voiture à essence",C28,"")))</f>
        <v/>
      </c>
      <c r="L28" s="806">
        <f>IF(DEMANDE_Transport!N32="","",DEMANDE_Transport!N32)</f>
        <v>0</v>
      </c>
      <c r="M28" s="795">
        <f>IF(L28="","",(L28*0.4))</f>
        <v>0</v>
      </c>
      <c r="O28" s="801" t="str">
        <f>IF(C28="Bus 24-56 passagers électrique",C28,IF(C28="Camionnette 8-18 passagers électrique",C28,IF(C28="Voiture électrique",C28,"")))</f>
        <v/>
      </c>
      <c r="P28" s="806">
        <f>IF(DEMANDE_Transport!S32="",0,DEMANDE_Transport!S32)</f>
        <v>0</v>
      </c>
      <c r="Q28" s="795">
        <f>IF(P28="","",(P28*0.4))</f>
        <v>0</v>
      </c>
      <c r="R28" s="560"/>
      <c r="S28" s="561"/>
      <c r="T28" s="118"/>
      <c r="U28" s="564" t="s">
        <v>356</v>
      </c>
      <c r="V28" s="804">
        <f>IF(DEMANDE_Transport!Y32="",0,DEMANDE_Transport!Y32)</f>
        <v>0</v>
      </c>
      <c r="W28" s="791"/>
      <c r="X28" s="792"/>
      <c r="Y28" s="790">
        <f>+V28*0.4</f>
        <v>0</v>
      </c>
      <c r="Z28" s="560"/>
      <c r="AA28" s="561"/>
    </row>
    <row r="29" spans="2:27" s="62" customFormat="1" ht="14.5" thickBot="1" x14ac:dyDescent="0.4">
      <c r="B29" s="118"/>
      <c r="C29" s="556" t="s">
        <v>647</v>
      </c>
      <c r="D29" s="804" t="str">
        <f>IF(DEMANDE_Transport!D33="","",DEMANDE_Transport!D33)</f>
        <v/>
      </c>
      <c r="E29" s="557" t="str">
        <f>IF(D29="","",DEMANDE_Équipe_Tournée!$Q$35)</f>
        <v/>
      </c>
      <c r="F29" s="558" t="str">
        <f>IF(D29="","",DEMANDE_Équipe_Tournée!$Q$33-DEMANDE_Équipe_Tournée!$Q$35)</f>
        <v/>
      </c>
      <c r="G29" s="559">
        <f>IFERROR(D29*0.4,0)</f>
        <v>0</v>
      </c>
      <c r="H29" s="560"/>
      <c r="J29" s="118"/>
      <c r="K29" s="729" t="s">
        <v>407</v>
      </c>
      <c r="L29" s="710">
        <f>SUM(L26:L28)</f>
        <v>0</v>
      </c>
      <c r="M29" s="711">
        <f>SUM(M26:M28)</f>
        <v>0</v>
      </c>
      <c r="O29" s="729" t="s">
        <v>407</v>
      </c>
      <c r="P29" s="710">
        <f>SUM(P26:P28)</f>
        <v>0</v>
      </c>
      <c r="Q29" s="711">
        <f>SUM(Q26:Q28)</f>
        <v>0</v>
      </c>
      <c r="R29" s="560"/>
      <c r="T29" s="118"/>
      <c r="U29" s="564" t="s">
        <v>354</v>
      </c>
      <c r="V29" s="804">
        <f>IF(DEMANDE_Transport!Y33="",0,DEMANDE_Transport!Y33)</f>
        <v>0</v>
      </c>
      <c r="W29" s="793"/>
      <c r="X29" s="794"/>
      <c r="Y29" s="790">
        <f>+V29*0.4</f>
        <v>0</v>
      </c>
      <c r="Z29" s="560"/>
      <c r="AA29" s="561"/>
    </row>
    <row r="30" spans="2:27" s="62" customFormat="1" x14ac:dyDescent="0.35">
      <c r="B30" s="118"/>
      <c r="C30" s="556" t="s">
        <v>648</v>
      </c>
      <c r="D30" s="804" t="str">
        <f>IF(DEMANDE_Transport!D34="","",DEMANDE_Transport!D34)</f>
        <v/>
      </c>
      <c r="E30" s="557" t="str">
        <f>IF(D30="","",DEMANDE_Équipe_Tournée!$Q$35)</f>
        <v/>
      </c>
      <c r="F30" s="558" t="str">
        <f>IF(D30="","",DEMANDE_Équipe_Tournée!$Q$33-DEMANDE_Équipe_Tournée!$Q$35)</f>
        <v/>
      </c>
      <c r="G30" s="559">
        <f>IFERROR(D30*0.4,0)</f>
        <v>0</v>
      </c>
      <c r="H30" s="560"/>
      <c r="I30" s="561"/>
      <c r="J30" s="562"/>
      <c r="K30" s="561"/>
      <c r="L30" s="561"/>
      <c r="M30" s="561"/>
      <c r="N30" s="561"/>
      <c r="O30" s="642"/>
      <c r="P30" s="642"/>
      <c r="Q30" s="561" t="str">
        <f t="shared" ref="Q30" si="0">IF(O30="","",(O30*0.4))</f>
        <v/>
      </c>
      <c r="R30" s="560"/>
      <c r="S30" s="561"/>
      <c r="T30" s="118"/>
      <c r="U30" s="564" t="s">
        <v>567</v>
      </c>
      <c r="V30" s="804">
        <f>IF(DEMANDE_Transport!Y34="",0,DEMANDE_Transport!Y34)</f>
        <v>0</v>
      </c>
      <c r="W30" s="793"/>
      <c r="X30" s="794"/>
      <c r="Y30" s="790">
        <f>+V30*0.4</f>
        <v>0</v>
      </c>
      <c r="Z30" s="560"/>
      <c r="AA30" s="561"/>
    </row>
    <row r="31" spans="2:27" s="62" customFormat="1" ht="15" thickBot="1" x14ac:dyDescent="0.4">
      <c r="B31" s="118"/>
      <c r="C31" s="556" t="s">
        <v>698</v>
      </c>
      <c r="D31" s="804" t="str">
        <f>IF(DEMANDE_Transport!D35="","",DEMANDE_Transport!D35)</f>
        <v/>
      </c>
      <c r="E31" s="557" t="str">
        <f>IF(D31="","",DEMANDE_Équipe_Tournée!$Q$35)</f>
        <v/>
      </c>
      <c r="F31" s="558" t="str">
        <f>IF(D31="","",DEMANDE_Équipe_Tournée!$Q$33-DEMANDE_Équipe_Tournée!$Q$35)</f>
        <v/>
      </c>
      <c r="G31" s="559">
        <f>IFERROR(D31*0.4,0)</f>
        <v>0</v>
      </c>
      <c r="H31" s="560"/>
      <c r="I31" s="561"/>
      <c r="J31" s="562"/>
      <c r="R31" s="567"/>
      <c r="S31" s="561"/>
      <c r="T31" s="118"/>
      <c r="U31" s="699" t="s">
        <v>568</v>
      </c>
      <c r="V31" s="805">
        <f>IF(DEMANDE_Transport!Y35="",0,DEMANDE_Transport!Y35)</f>
        <v>0</v>
      </c>
      <c r="W31" s="793"/>
      <c r="X31" s="794"/>
      <c r="Y31" s="795">
        <f>+V31*0.4</f>
        <v>0</v>
      </c>
      <c r="Z31" s="560"/>
      <c r="AA31" s="561"/>
    </row>
    <row r="32" spans="2:27" s="62" customFormat="1" ht="14.5" thickBot="1" x14ac:dyDescent="0.4">
      <c r="B32" s="118"/>
      <c r="C32" s="556" t="s">
        <v>649</v>
      </c>
      <c r="D32" s="804" t="str">
        <f>IF(DEMANDE_Transport!D36="","",DEMANDE_Transport!D36)</f>
        <v/>
      </c>
      <c r="E32" s="557" t="str">
        <f>IF(D32="","",DEMANDE_Équipe_Tournée!$Q$35)</f>
        <v/>
      </c>
      <c r="F32" s="558" t="str">
        <f>IF(D32="","",DEMANDE_Équipe_Tournée!$Q$33-DEMANDE_Équipe_Tournée!$Q$35)</f>
        <v/>
      </c>
      <c r="G32" s="559">
        <f>IF(D32="",0,IF(E32&gt;=((E32+F32)*0.5),D32*0.4,(D32/DEMANDE_Équipe_Tournée!$Q$33*DEMANDE_Équipe_Tournée!$Q$35*0.4)))</f>
        <v>0</v>
      </c>
      <c r="H32" s="560"/>
      <c r="I32" s="561"/>
      <c r="J32" s="562"/>
      <c r="K32" s="561"/>
      <c r="L32" s="561"/>
      <c r="M32" s="561"/>
      <c r="N32" s="561"/>
      <c r="O32" s="561"/>
      <c r="P32" s="561"/>
      <c r="Q32" s="561"/>
      <c r="R32" s="560"/>
      <c r="S32" s="561"/>
      <c r="T32" s="118"/>
      <c r="U32" s="724" t="s">
        <v>407</v>
      </c>
      <c r="V32" s="725">
        <f>SUM(V26:V31)</f>
        <v>0</v>
      </c>
      <c r="W32" s="730"/>
      <c r="X32" s="731"/>
      <c r="Y32" s="702">
        <f>IF(SUM(Y26:Y31)&gt;2000,2000,SUM(Y26:Y31))</f>
        <v>0</v>
      </c>
      <c r="Z32" s="560"/>
      <c r="AA32" s="561"/>
    </row>
    <row r="33" spans="2:31" s="62" customFormat="1" x14ac:dyDescent="0.35">
      <c r="B33" s="118"/>
      <c r="C33" s="556" t="s">
        <v>563</v>
      </c>
      <c r="D33" s="804" t="str">
        <f>IF(DEMANDE_Transport!D37="","",DEMANDE_Transport!D37)</f>
        <v/>
      </c>
      <c r="E33" s="557" t="str">
        <f>IF(D33="","",DEMANDE_Équipe_Tournée!$Q$35)</f>
        <v/>
      </c>
      <c r="F33" s="558" t="str">
        <f>IF(D33="","",DEMANDE_Équipe_Tournée!$Q$33-DEMANDE_Équipe_Tournée!$Q$35)</f>
        <v/>
      </c>
      <c r="G33" s="559">
        <f>IFERROR(D33*0.4,0)</f>
        <v>0</v>
      </c>
      <c r="H33" s="560"/>
      <c r="I33" s="561"/>
      <c r="J33" s="562"/>
      <c r="K33" s="561"/>
      <c r="L33" s="561"/>
      <c r="M33" s="561"/>
      <c r="N33" s="561"/>
      <c r="O33" s="561"/>
      <c r="P33" s="561"/>
      <c r="Q33" s="561"/>
      <c r="R33" s="560"/>
      <c r="S33" s="561"/>
      <c r="T33" s="118"/>
      <c r="U33" s="570"/>
      <c r="V33" s="571"/>
      <c r="W33" s="572"/>
      <c r="X33" s="572"/>
      <c r="Y33" s="561"/>
      <c r="Z33" s="560"/>
      <c r="AA33" s="561"/>
    </row>
    <row r="34" spans="2:31" s="62" customFormat="1" x14ac:dyDescent="0.35">
      <c r="B34" s="118"/>
      <c r="C34" s="556" t="s">
        <v>644</v>
      </c>
      <c r="D34" s="804" t="str">
        <f>IF(DEMANDE_Transport!D38="","",DEMANDE_Transport!D38)</f>
        <v/>
      </c>
      <c r="E34" s="643"/>
      <c r="F34" s="644"/>
      <c r="G34" s="559">
        <f>IFERROR(D34*0.4,0)</f>
        <v>0</v>
      </c>
      <c r="H34" s="560"/>
      <c r="I34" s="561"/>
      <c r="J34" s="562"/>
      <c r="K34" s="561"/>
      <c r="L34" s="561"/>
      <c r="M34" s="561"/>
      <c r="N34" s="561"/>
      <c r="O34" s="561"/>
      <c r="P34" s="561"/>
      <c r="Q34" s="561"/>
      <c r="R34" s="560"/>
      <c r="S34" s="561"/>
      <c r="T34" s="118"/>
      <c r="U34" s="570"/>
      <c r="V34" s="571"/>
      <c r="W34" s="572"/>
      <c r="X34" s="572"/>
      <c r="Y34" s="561"/>
      <c r="Z34" s="560"/>
      <c r="AA34" s="561"/>
    </row>
    <row r="35" spans="2:31" s="62" customFormat="1" x14ac:dyDescent="0.35">
      <c r="B35" s="118"/>
      <c r="C35" s="556" t="s">
        <v>645</v>
      </c>
      <c r="D35" s="804" t="str">
        <f>IF(DEMANDE_Transport!D39="","",DEMANDE_Transport!D39)</f>
        <v/>
      </c>
      <c r="E35" s="645"/>
      <c r="F35" s="646"/>
      <c r="G35" s="559">
        <f>IFERROR(D35*0.4,0)</f>
        <v>0</v>
      </c>
      <c r="H35" s="560"/>
      <c r="I35" s="561"/>
      <c r="J35" s="562"/>
      <c r="K35" s="561"/>
      <c r="L35" s="561"/>
      <c r="M35" s="561"/>
      <c r="N35" s="561"/>
      <c r="O35" s="561"/>
      <c r="P35" s="561"/>
      <c r="Q35" s="561"/>
      <c r="R35" s="560"/>
      <c r="S35" s="561"/>
      <c r="T35" s="118"/>
      <c r="U35" s="570"/>
      <c r="V35" s="571"/>
      <c r="W35" s="572"/>
      <c r="X35" s="572"/>
      <c r="Y35" s="561"/>
      <c r="Z35" s="560"/>
      <c r="AA35" s="561"/>
    </row>
    <row r="36" spans="2:31" s="62" customFormat="1" ht="14.5" thickBot="1" x14ac:dyDescent="0.4">
      <c r="B36" s="118"/>
      <c r="C36" s="723" t="s">
        <v>646</v>
      </c>
      <c r="D36" s="805" t="str">
        <f>IF(DEMANDE_Transport!D40="","",DEMANDE_Transport!D40)</f>
        <v/>
      </c>
      <c r="E36" s="645"/>
      <c r="F36" s="646"/>
      <c r="G36" s="703">
        <f>IFERROR(D36*0.4,0)</f>
        <v>0</v>
      </c>
      <c r="H36" s="560"/>
      <c r="I36" s="561"/>
      <c r="J36" s="562"/>
      <c r="K36" s="561"/>
      <c r="L36" s="561"/>
      <c r="M36" s="561"/>
      <c r="N36" s="561"/>
      <c r="O36" s="561"/>
      <c r="P36" s="561"/>
      <c r="Q36" s="561"/>
      <c r="R36" s="560"/>
      <c r="S36" s="561"/>
      <c r="T36" s="118"/>
      <c r="U36" s="570"/>
      <c r="V36" s="571"/>
      <c r="W36" s="572"/>
      <c r="X36" s="572"/>
      <c r="Y36" s="561"/>
      <c r="Z36" s="560"/>
      <c r="AA36" s="561"/>
    </row>
    <row r="37" spans="2:31" s="62" customFormat="1" ht="18" customHeight="1" thickBot="1" x14ac:dyDescent="0.4">
      <c r="B37" s="118"/>
      <c r="C37" s="724" t="s">
        <v>407</v>
      </c>
      <c r="D37" s="725">
        <f>SUM(D26:D36)</f>
        <v>0</v>
      </c>
      <c r="E37" s="726"/>
      <c r="F37" s="727"/>
      <c r="G37" s="702">
        <f>SUM(G26:G36)</f>
        <v>0</v>
      </c>
      <c r="H37" s="573"/>
      <c r="I37" s="574"/>
      <c r="J37" s="575"/>
      <c r="K37" s="574"/>
      <c r="L37" s="574"/>
      <c r="M37" s="574"/>
      <c r="N37" s="574"/>
      <c r="O37" s="574"/>
      <c r="P37" s="574"/>
      <c r="Q37" s="574"/>
      <c r="R37" s="573"/>
      <c r="S37" s="574"/>
      <c r="T37" s="118"/>
      <c r="Z37" s="573"/>
      <c r="AA37" s="574"/>
      <c r="AB37" s="657" t="s">
        <v>66</v>
      </c>
    </row>
    <row r="38" spans="2:31" ht="10" customHeight="1" thickBot="1" x14ac:dyDescent="0.35">
      <c r="B38" s="193"/>
      <c r="C38" s="576"/>
      <c r="D38" s="416"/>
      <c r="E38" s="194"/>
      <c r="F38" s="194"/>
      <c r="G38" s="194"/>
      <c r="H38" s="382"/>
      <c r="J38" s="193"/>
      <c r="K38" s="194"/>
      <c r="L38" s="194"/>
      <c r="M38" s="194"/>
      <c r="N38" s="194"/>
      <c r="O38" s="194"/>
      <c r="P38" s="194"/>
      <c r="Q38" s="194"/>
      <c r="R38" s="382"/>
      <c r="T38" s="193"/>
      <c r="U38" s="576"/>
      <c r="V38" s="416"/>
      <c r="W38" s="194"/>
      <c r="X38" s="194"/>
      <c r="Y38" s="194"/>
      <c r="Z38" s="382"/>
    </row>
    <row r="39" spans="2:31" ht="10" customHeight="1" thickBot="1" x14ac:dyDescent="0.35">
      <c r="B39" s="577"/>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row>
    <row r="40" spans="2:31" ht="20" customHeight="1" thickBot="1" x14ac:dyDescent="0.35">
      <c r="B40" s="1131" t="s">
        <v>838</v>
      </c>
      <c r="C40" s="1134"/>
      <c r="D40" s="1134"/>
      <c r="E40" s="1134"/>
      <c r="F40" s="1134"/>
      <c r="G40" s="1134"/>
      <c r="H40" s="1135"/>
      <c r="I40" s="577"/>
      <c r="J40" s="1131" t="s">
        <v>696</v>
      </c>
      <c r="K40" s="1132"/>
      <c r="L40" s="1132"/>
      <c r="M40" s="1132"/>
      <c r="N40" s="1132"/>
      <c r="O40" s="1132"/>
      <c r="P40" s="1132"/>
      <c r="Q40" s="1132"/>
      <c r="R40" s="1133"/>
      <c r="S40" s="647"/>
      <c r="T40" s="1139" t="s">
        <v>697</v>
      </c>
      <c r="U40" s="1134"/>
      <c r="V40" s="1134"/>
      <c r="W40" s="1134"/>
      <c r="X40" s="1134"/>
      <c r="Y40" s="1134"/>
      <c r="Z40" s="1135"/>
      <c r="AE40" s="577"/>
    </row>
    <row r="41" spans="2:31" ht="5" customHeight="1" thickBot="1" x14ac:dyDescent="0.35">
      <c r="B41" s="648"/>
      <c r="C41" s="648"/>
      <c r="D41" s="648"/>
      <c r="E41" s="648"/>
      <c r="F41" s="648"/>
      <c r="G41" s="648"/>
      <c r="H41" s="648"/>
      <c r="I41" s="577"/>
      <c r="J41" s="648"/>
      <c r="K41" s="648"/>
      <c r="L41" s="648"/>
      <c r="M41" s="648"/>
      <c r="N41" s="648"/>
      <c r="O41" s="648"/>
      <c r="P41" s="648"/>
      <c r="Q41" s="648"/>
      <c r="R41" s="648"/>
      <c r="S41" s="648"/>
      <c r="T41" s="648"/>
      <c r="U41" s="648"/>
      <c r="V41" s="648"/>
      <c r="W41" s="648"/>
      <c r="X41" s="577"/>
      <c r="Y41" s="648"/>
      <c r="Z41" s="648"/>
      <c r="AA41" s="648"/>
      <c r="AB41" s="648"/>
      <c r="AC41" s="648"/>
      <c r="AD41" s="648"/>
      <c r="AE41" s="577"/>
    </row>
    <row r="42" spans="2:31" ht="20" customHeight="1" thickBot="1" x14ac:dyDescent="0.35">
      <c r="B42" s="1131" t="s">
        <v>835</v>
      </c>
      <c r="C42" s="1132"/>
      <c r="D42" s="1132"/>
      <c r="E42" s="1132"/>
      <c r="F42" s="1132"/>
      <c r="G42" s="1132"/>
      <c r="H42" s="1133"/>
      <c r="I42" s="577"/>
      <c r="J42" s="577"/>
      <c r="K42" s="577"/>
      <c r="L42" s="577"/>
      <c r="M42" s="577"/>
      <c r="N42" s="577"/>
      <c r="O42" s="577"/>
      <c r="P42" s="577"/>
      <c r="Q42" s="577"/>
      <c r="R42" s="577"/>
      <c r="S42" s="577"/>
      <c r="T42" s="649"/>
      <c r="U42" s="649"/>
      <c r="V42" s="649"/>
      <c r="W42" s="649"/>
      <c r="X42" s="649"/>
      <c r="Y42" s="649"/>
      <c r="Z42" s="649"/>
      <c r="AA42" s="577"/>
    </row>
    <row r="43" spans="2:31" ht="20" customHeight="1" x14ac:dyDescent="0.3">
      <c r="B43" s="650"/>
      <c r="C43" s="650"/>
      <c r="D43" s="650"/>
      <c r="E43" s="650"/>
      <c r="F43" s="650"/>
      <c r="G43" s="650"/>
      <c r="H43" s="650"/>
      <c r="I43" s="577"/>
      <c r="J43" s="577"/>
      <c r="K43" s="577"/>
      <c r="L43" s="577"/>
      <c r="M43" s="577"/>
      <c r="N43" s="577"/>
      <c r="O43" s="577"/>
      <c r="P43" s="577"/>
      <c r="Q43" s="577"/>
      <c r="R43" s="577"/>
      <c r="S43" s="577"/>
    </row>
    <row r="44" spans="2:31" ht="24" customHeight="1" x14ac:dyDescent="0.3">
      <c r="C44" s="470"/>
    </row>
    <row r="46" spans="2:31" x14ac:dyDescent="0.3">
      <c r="M46" s="554"/>
      <c r="N46" s="554"/>
      <c r="O46" s="554"/>
      <c r="P46" s="554"/>
      <c r="Q46" s="554"/>
    </row>
    <row r="47" spans="2:31" x14ac:dyDescent="0.3">
      <c r="M47" s="561"/>
      <c r="N47" s="561"/>
      <c r="O47" s="642"/>
      <c r="P47" s="642"/>
      <c r="Q47" s="642"/>
    </row>
    <row r="48" spans="2:31" x14ac:dyDescent="0.3">
      <c r="M48" s="561"/>
      <c r="N48" s="561"/>
      <c r="O48" s="642"/>
      <c r="P48" s="642"/>
      <c r="Q48" s="642"/>
    </row>
    <row r="49" spans="9:27" x14ac:dyDescent="0.3">
      <c r="M49" s="561"/>
      <c r="N49" s="561"/>
      <c r="O49" s="642"/>
      <c r="P49" s="642"/>
      <c r="Q49" s="642"/>
    </row>
    <row r="50" spans="9:27" x14ac:dyDescent="0.3">
      <c r="M50" s="651"/>
      <c r="N50" s="651"/>
      <c r="O50" s="652"/>
      <c r="P50" s="652"/>
      <c r="Q50" s="652"/>
    </row>
    <row r="59" spans="9:27" ht="22" customHeight="1" x14ac:dyDescent="0.3">
      <c r="I59" s="577"/>
      <c r="J59" s="577"/>
      <c r="K59" s="577"/>
      <c r="L59" s="577"/>
      <c r="M59" s="577"/>
      <c r="N59" s="577"/>
      <c r="O59" s="577"/>
      <c r="P59" s="577"/>
      <c r="Q59" s="577"/>
      <c r="R59" s="577"/>
      <c r="S59" s="577"/>
      <c r="T59" s="577"/>
      <c r="U59" s="577"/>
      <c r="V59" s="577"/>
      <c r="W59" s="577"/>
      <c r="X59" s="577"/>
      <c r="Y59" s="577"/>
      <c r="Z59" s="577"/>
      <c r="AA59" s="577"/>
    </row>
  </sheetData>
  <sheetProtection algorithmName="SHA-512" hashValue="NxqQ6MvXpxvSXDdSVpeJ+84pAYFcMC0ydRY+5P/6rje3OJQ8X9zSN83M+nP0BbOtozgd5FZL5Q2ENYe6A0sTPw==" saltValue="I7Fzhmo+rkYYcQFcpNKYYg==" spinCount="100000" sheet="1" objects="1" scenarios="1" formatRows="0"/>
  <mergeCells count="20">
    <mergeCell ref="E12:O12"/>
    <mergeCell ref="E14:O14"/>
    <mergeCell ref="E15:Q15"/>
    <mergeCell ref="E17:Q17"/>
    <mergeCell ref="E19:K19"/>
    <mergeCell ref="O1:Z1"/>
    <mergeCell ref="P2:Z2"/>
    <mergeCell ref="U3:Z3"/>
    <mergeCell ref="E10:O10"/>
    <mergeCell ref="E11:O11"/>
    <mergeCell ref="C8:Y8"/>
    <mergeCell ref="X4:Z4"/>
    <mergeCell ref="C7:Y7"/>
    <mergeCell ref="B42:H42"/>
    <mergeCell ref="J40:R40"/>
    <mergeCell ref="B40:H40"/>
    <mergeCell ref="C23:G23"/>
    <mergeCell ref="T40:Z40"/>
    <mergeCell ref="U23:Y23"/>
    <mergeCell ref="K23:Q23"/>
  </mergeCells>
  <conditionalFormatting sqref="K26:K28">
    <cfRule type="notContainsBlanks" dxfId="21" priority="2">
      <formula>LEN(TRIM(K26))&gt;0</formula>
    </cfRule>
  </conditionalFormatting>
  <conditionalFormatting sqref="O26:O28">
    <cfRule type="notContainsBlanks" dxfId="20" priority="1">
      <formula>LEN(TRIM(O26))&gt;0</formula>
    </cfRule>
  </conditionalFormatting>
  <hyperlinks>
    <hyperlink ref="E17:Z17" location="RAPPORT_FINAL_Transport!X26" display="Mettre à jour les informations en fonction des coûts réels de transport et location de matériel, assurances et permis de travail cliquer ici" xr:uid="{476BB21D-320A-407E-8976-1A6114DC8EDE}"/>
    <hyperlink ref="AB37" location="Rapport_Final!D17" display="accès rapide au rapport final" xr:uid="{ABCEDA0A-180B-4DFF-BDF1-590ADE5E17C2}"/>
    <hyperlink ref="E10" location="RAPPORT_FINAL_Transport!C26" display="Au besoin, mettre à jour le type de véhicule de location à partir de la liste déroulante cliquer ici" xr:uid="{5E37DF2D-E8F8-4DA8-A186-5D705E3BDC99}"/>
    <hyperlink ref="E11" location="RAPPORT_FINAL_Transport!D25" display="Au besoin, mettre à jour les informations en fonction des coûts réels de transport local cliquer ici" xr:uid="{D8A066CF-7918-44CF-990D-40E76A95FBC5}"/>
    <hyperlink ref="E14" location="RAPPORT_FINAL_Transport!L25" display="Pour la location de véhicule à essence, inscrire le total du coût réel de l'essence par type de véhicule cliquer ici" xr:uid="{06678744-7570-4B17-9A65-B5CA2DD2CE80}"/>
    <hyperlink ref="E15" location="RAPPORT_FINAL_Transport!P25" display="Pour la location de véhicule hybride ou électrique, inscrire le total du coût réel de la recharge électrique par type de véhicule cliquer ici" xr:uid="{4E459A4F-0722-4DD7-8438-E38002E77379}"/>
    <hyperlink ref="E17" location="RAPPORT_FINAL_Transport!V25" display="Mettre à jour les informations en fonction des coûts réels de transport et location de matériel, assurances et permis de travail cliquer ici" xr:uid="{0014BD3F-C085-433D-A956-A7B602C026B3}"/>
    <hyperlink ref="E19:K19" location="Rapport_Final!D17" display="Retourner au Rapport_Final cliquer ici" xr:uid="{993698D5-EAE6-4C94-8607-E52C3B6F2325}"/>
  </hyperlinks>
  <pageMargins left="0.25" right="0.25" top="0.75" bottom="0.75" header="0.3" footer="0.3"/>
  <pageSetup paperSize="3" scale="90" orientation="landscape" r:id="rId1"/>
  <ignoredErrors>
    <ignoredError sqref="G32" formula="1"/>
    <ignoredError sqref="C26:C28 P26:P28 L26:L28 D29:D36 V26:V31 D26:D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3D20FE6-109E-4F0A-AC8F-719A82583A89}">
          <x14:formula1>
            <xm:f>Paramètres!$M$2:$M$7</xm:f>
          </x14:formula1>
          <xm:sqref>C26:C28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c2e914-cff8-4205-9eb2-3224d1562b4b">
      <Terms xmlns="http://schemas.microsoft.com/office/infopath/2007/PartnerControls"/>
    </lcf76f155ced4ddcb4097134ff3c332f>
    <TaxCatchAll xmlns="8dcd97b2-3a87-4ee8-8b6e-5e41db86283d"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B3A9BA99BDB45B2ACF3DFFE2E5217" ma:contentTypeVersion="17" ma:contentTypeDescription="Crée un document." ma:contentTypeScope="" ma:versionID="6900a94776ebf503bfa5852ed911e025">
  <xsd:schema xmlns:xsd="http://www.w3.org/2001/XMLSchema" xmlns:xs="http://www.w3.org/2001/XMLSchema" xmlns:p="http://schemas.microsoft.com/office/2006/metadata/properties" xmlns:ns1="http://schemas.microsoft.com/sharepoint/v3" xmlns:ns2="63c2e914-cff8-4205-9eb2-3224d1562b4b" xmlns:ns3="8dcd97b2-3a87-4ee8-8b6e-5e41db86283d" targetNamespace="http://schemas.microsoft.com/office/2006/metadata/properties" ma:root="true" ma:fieldsID="43b631fabbc34a7fae62c5f3ad055692" ns1:_="" ns2:_="" ns3:_="">
    <xsd:import namespace="http://schemas.microsoft.com/sharepoint/v3"/>
    <xsd:import namespace="63c2e914-cff8-4205-9eb2-3224d1562b4b"/>
    <xsd:import namespace="8dcd97b2-3a87-4ee8-8b6e-5e41db8628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c2e914-cff8-4205-9eb2-3224d1562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cd97b2-3a87-4ee8-8b6e-5e41db86283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74d4abae-6d74-4081-9a5f-b4a878743d5f}" ma:internalName="TaxCatchAll" ma:showField="CatchAllData" ma:web="8dcd97b2-3a87-4ee8-8b6e-5e41db862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66380B-869F-49BF-AABC-8DDD218B9F0A}">
  <ds:schemaRefs>
    <ds:schemaRef ds:uri="http://schemas.microsoft.com/sharepoint/v3/contenttype/forms"/>
  </ds:schemaRefs>
</ds:datastoreItem>
</file>

<file path=customXml/itemProps2.xml><?xml version="1.0" encoding="utf-8"?>
<ds:datastoreItem xmlns:ds="http://schemas.openxmlformats.org/officeDocument/2006/customXml" ds:itemID="{12C9C438-5D9F-49D9-91B2-A9FB2518312D}">
  <ds:schemaRefs>
    <ds:schemaRef ds:uri="http://schemas.microsoft.com/office/2006/metadata/properties"/>
    <ds:schemaRef ds:uri="http://schemas.microsoft.com/office/infopath/2007/PartnerControls"/>
    <ds:schemaRef ds:uri="63c2e914-cff8-4205-9eb2-3224d1562b4b"/>
    <ds:schemaRef ds:uri="8dcd97b2-3a87-4ee8-8b6e-5e41db86283d"/>
    <ds:schemaRef ds:uri="http://schemas.microsoft.com/sharepoint/v3"/>
  </ds:schemaRefs>
</ds:datastoreItem>
</file>

<file path=customXml/itemProps3.xml><?xml version="1.0" encoding="utf-8"?>
<ds:datastoreItem xmlns:ds="http://schemas.openxmlformats.org/officeDocument/2006/customXml" ds:itemID="{224840B9-6213-4F09-BCAA-60D2B13D5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c2e914-cff8-4205-9eb2-3224d1562b4b"/>
    <ds:schemaRef ds:uri="8dcd97b2-3a87-4ee8-8b6e-5e41db862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10</vt:i4>
      </vt:variant>
    </vt:vector>
  </HeadingPairs>
  <TitlesOfParts>
    <vt:vector size="24" baseType="lpstr">
      <vt:lpstr>Formulaire_Demande</vt:lpstr>
      <vt:lpstr>Statistiques</vt:lpstr>
      <vt:lpstr>DEMANDE_Calendrier_Tournée</vt:lpstr>
      <vt:lpstr>DEMANDE_Équipe_Tournée</vt:lpstr>
      <vt:lpstr>DEMANDE_Transport</vt:lpstr>
      <vt:lpstr>Rapport_Final</vt:lpstr>
      <vt:lpstr>RAPPORT_FINAL_Calendrier</vt:lpstr>
      <vt:lpstr>RAPPORT_FINAL_Équipe_Tournée</vt:lpstr>
      <vt:lpstr>RAPPORT_FINAL_Transport</vt:lpstr>
      <vt:lpstr>Recommandation</vt:lpstr>
      <vt:lpstr>Calcul_Désengagement</vt:lpstr>
      <vt:lpstr>tcd pays date cachet</vt:lpstr>
      <vt:lpstr>Report_Analyse</vt:lpstr>
      <vt:lpstr>Paramètres</vt:lpstr>
      <vt:lpstr>Recommandation!Impression_des_titres</vt:lpstr>
      <vt:lpstr>DEMANDE_Calendrier_Tournée!Zone_d_impression</vt:lpstr>
      <vt:lpstr>DEMANDE_Équipe_Tournée!Zone_d_impression</vt:lpstr>
      <vt:lpstr>DEMANDE_Transport!Zone_d_impression</vt:lpstr>
      <vt:lpstr>Formulaire_Demande!Zone_d_impression</vt:lpstr>
      <vt:lpstr>Rapport_Final!Zone_d_impression</vt:lpstr>
      <vt:lpstr>RAPPORT_FINAL_Équipe_Tournée!Zone_d_impression</vt:lpstr>
      <vt:lpstr>RAPPORT_FINAL_Transport!Zone_d_impression</vt:lpstr>
      <vt:lpstr>Recommandation!Zone_d_impression</vt:lpstr>
      <vt:lpstr>Statistiques!Zone_d_impression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Verger, Marlène</cp:lastModifiedBy>
  <cp:lastPrinted>2023-03-16T19:15:08Z</cp:lastPrinted>
  <dcterms:created xsi:type="dcterms:W3CDTF">2022-01-14T20:29:40Z</dcterms:created>
  <dcterms:modified xsi:type="dcterms:W3CDTF">2023-10-25T12:17:49Z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0x010100146B3A9BA99BDB45B2ACF3DFFE2E5217</vt:lpwstr>
  </property>
</Properties>
</file>